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UCON\03 - Prestação de Contas\05 - HEJ\1 - MENSAL\Portifolio\11. Novembro\VF\"/>
    </mc:Choice>
  </mc:AlternateContent>
  <xr:revisionPtr revIDLastSave="0" documentId="13_ncr:1_{449C3963-3E59-4851-9119-597726BA1C10}" xr6:coauthVersionLast="47" xr6:coauthVersionMax="47" xr10:uidLastSave="{00000000-0000-0000-0000-000000000000}"/>
  <bookViews>
    <workbookView xWindow="28680" yWindow="-120" windowWidth="29040" windowHeight="15720" xr2:uid="{CAC01B06-2A9D-4B21-94B1-5ABE4737FACC}"/>
  </bookViews>
  <sheets>
    <sheet name="Indicadores de Produção" sheetId="1" r:id="rId1"/>
    <sheet name="Indicadores de Desempenho" sheetId="2" r:id="rId2"/>
    <sheet name="Indicadores de Efetividade" sheetId="3" r:id="rId3"/>
  </sheets>
  <definedNames>
    <definedName name="_xlnm.Print_Area" localSheetId="1">'Indicadores de Desempenho'!$A$1:$C$57</definedName>
    <definedName name="_xlnm.Print_Area" localSheetId="2">'Indicadores de Efetividade'!$A$1:$B$103</definedName>
    <definedName name="_xlnm.Print_Area" localSheetId="0">'Indicadores de Produção'!$A$1:$C$143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23" i="2"/>
  <c r="D5" i="2"/>
  <c r="D89" i="1"/>
  <c r="D5" i="1"/>
  <c r="B59" i="3" l="1"/>
  <c r="B56" i="3"/>
  <c r="B57" i="3"/>
  <c r="B55" i="3"/>
  <c r="B32" i="3"/>
  <c r="B31" i="3"/>
  <c r="B30" i="3"/>
  <c r="B29" i="3"/>
  <c r="B28" i="3"/>
  <c r="B27" i="3"/>
  <c r="B26" i="3"/>
  <c r="C5" i="2"/>
  <c r="B13" i="3" s="1"/>
  <c r="C47" i="2"/>
  <c r="D47" i="2" s="1"/>
  <c r="C129" i="1" l="1"/>
  <c r="C41" i="2"/>
  <c r="D41" i="2" s="1"/>
  <c r="C29" i="2"/>
  <c r="D29" i="2" s="1"/>
  <c r="C26" i="2"/>
  <c r="D26" i="2" s="1"/>
  <c r="C138" i="1"/>
  <c r="D134" i="1" s="1"/>
  <c r="D133" i="1" l="1"/>
  <c r="D137" i="1"/>
  <c r="D136" i="1"/>
  <c r="D135" i="1"/>
  <c r="D132" i="1"/>
  <c r="C43" i="1"/>
  <c r="C34" i="1" s="1"/>
  <c r="C107" i="1"/>
  <c r="D138" i="1" l="1"/>
  <c r="C31" i="1"/>
  <c r="D86" i="1"/>
  <c r="C92" i="1"/>
  <c r="B92" i="1"/>
  <c r="C66" i="1"/>
  <c r="C46" i="1" s="1"/>
  <c r="C20" i="1"/>
  <c r="B44" i="3" s="1"/>
  <c r="B20" i="1"/>
  <c r="C11" i="1"/>
  <c r="C10" i="2" s="1"/>
  <c r="B11" i="1"/>
  <c r="D66" i="1" l="1"/>
  <c r="C50" i="2"/>
  <c r="D50" i="2" s="1"/>
  <c r="D17" i="1"/>
  <c r="D18" i="1"/>
  <c r="D19" i="1"/>
  <c r="C32" i="2"/>
  <c r="D32" i="2" s="1"/>
  <c r="C12" i="2" l="1"/>
  <c r="D48" i="1"/>
  <c r="D46" i="1"/>
  <c r="B43" i="3"/>
  <c r="B42" i="3" s="1"/>
  <c r="C20" i="2"/>
  <c r="C121" i="1"/>
  <c r="D87" i="1"/>
  <c r="D88" i="1"/>
  <c r="D90" i="1"/>
  <c r="D91" i="1"/>
  <c r="D92" i="1"/>
  <c r="C71" i="1"/>
  <c r="C83" i="1" l="1"/>
  <c r="D30" i="1"/>
  <c r="D29" i="1"/>
  <c r="D28" i="1"/>
  <c r="D27" i="1"/>
  <c r="D26" i="1"/>
  <c r="D25" i="1"/>
  <c r="D24" i="1"/>
  <c r="D23" i="1"/>
  <c r="D31" i="1"/>
  <c r="D14" i="1"/>
  <c r="D6" i="1"/>
  <c r="D7" i="1"/>
  <c r="D8" i="1"/>
  <c r="D9" i="1"/>
  <c r="D10" i="1"/>
  <c r="C23" i="2"/>
  <c r="C47" i="1" l="1"/>
  <c r="D83" i="1"/>
  <c r="D11" i="1"/>
  <c r="B36" i="3"/>
  <c r="B40" i="3" s="1"/>
  <c r="D20" i="1"/>
  <c r="B49" i="1"/>
  <c r="B38" i="3" l="1"/>
  <c r="C49" i="1"/>
  <c r="D49" i="1" s="1"/>
  <c r="D47" i="1"/>
  <c r="C8" i="2"/>
  <c r="D8" i="2" s="1"/>
  <c r="C53" i="2"/>
  <c r="D53" i="2" s="1"/>
  <c r="C44" i="2"/>
  <c r="D44" i="2" s="1"/>
  <c r="C38" i="2"/>
  <c r="D38" i="2" s="1"/>
  <c r="C35" i="2"/>
  <c r="D35" i="2" s="1"/>
  <c r="C17" i="2"/>
  <c r="D17" i="2" s="1"/>
  <c r="C14" i="2"/>
  <c r="D14" i="2" s="1"/>
  <c r="C13" i="2" l="1"/>
  <c r="B23" i="3"/>
  <c r="C11" i="2"/>
  <c r="D11" i="2" s="1"/>
  <c r="B33" i="3" l="1"/>
</calcChain>
</file>

<file path=xl/sharedStrings.xml><?xml version="1.0" encoding="utf-8"?>
<sst xmlns="http://schemas.openxmlformats.org/spreadsheetml/2006/main" count="374" uniqueCount="244">
  <si>
    <t>Internação (Saídas Hospitalares)</t>
  </si>
  <si>
    <t>Saídas Clínicas</t>
  </si>
  <si>
    <t>Saídas Cirúrgica</t>
  </si>
  <si>
    <t>Saídas Pediátricas</t>
  </si>
  <si>
    <t>Saídas Cirúrgicas Pediátricas</t>
  </si>
  <si>
    <t>Saídas Obstétricas</t>
  </si>
  <si>
    <t xml:space="preserve">Saídas Saúde Mental </t>
  </si>
  <si>
    <t>Hospital Estadual de Jataí Dr. Serafim de Carvalho (HEJ)</t>
  </si>
  <si>
    <t>Cirurgia Eletiva Ambulatorial</t>
  </si>
  <si>
    <t>Cirurgias oftalmológicas que não necessitem de internação</t>
  </si>
  <si>
    <t>Cirurgias Eletivas</t>
  </si>
  <si>
    <t>Cirurgia eletiva hospitalar de alto giro</t>
  </si>
  <si>
    <t>Cirurgia eletiva hospitalar de média ou alta complexidade (sem alto custo)</t>
  </si>
  <si>
    <t xml:space="preserve">Cirurgia eletiva hospitalar de alta complexidade e alto custo </t>
  </si>
  <si>
    <t>Total</t>
  </si>
  <si>
    <t>Especialidades para cirurgias eletivas</t>
  </si>
  <si>
    <t>Bucomaxilofacial</t>
  </si>
  <si>
    <t>Cirurgia Geral Adulto</t>
  </si>
  <si>
    <t>Cirurgia Vascular</t>
  </si>
  <si>
    <t>Ginecologia</t>
  </si>
  <si>
    <t>Oftalmologia</t>
  </si>
  <si>
    <t>Ortopedia / Traumatologia</t>
  </si>
  <si>
    <t>Otorrinolaringologia</t>
  </si>
  <si>
    <t>Urologia</t>
  </si>
  <si>
    <t xml:space="preserve">Cirurgias de Urgência </t>
  </si>
  <si>
    <t>Sem meta</t>
  </si>
  <si>
    <t>Especialidades para cirurgias de Urgência</t>
  </si>
  <si>
    <t>Cirurgia Geral</t>
  </si>
  <si>
    <t xml:space="preserve">Atendimento Ambultorial </t>
  </si>
  <si>
    <t>Consultas Médicas</t>
  </si>
  <si>
    <t>Consultas Multiprofissionais</t>
  </si>
  <si>
    <t xml:space="preserve">Procedimentos Ambulatoriais </t>
  </si>
  <si>
    <t>Atendimento Ambulatorial  Médico por Especialidade</t>
  </si>
  <si>
    <t>Angiologia e Cirurgia Vascular</t>
  </si>
  <si>
    <t>Cardiologia</t>
  </si>
  <si>
    <t>Cirurgião Pediátrico</t>
  </si>
  <si>
    <t>Dermatologia</t>
  </si>
  <si>
    <t>Infectologia (VVS e SAE)</t>
  </si>
  <si>
    <t>Obstetrícia (egresso)</t>
  </si>
  <si>
    <t>Ortopedia e Traumatologia</t>
  </si>
  <si>
    <t>Otorrinolaringologia adulto e pediátrica</t>
  </si>
  <si>
    <t>Pediatria (egresso)</t>
  </si>
  <si>
    <t>Psiquiatria</t>
  </si>
  <si>
    <t>Atendimento Ambulatorial Multiprofissional</t>
  </si>
  <si>
    <t>Enfermagem - egresso e VVS</t>
  </si>
  <si>
    <t>Farmácia</t>
  </si>
  <si>
    <t>Fisioterapia - egresso</t>
  </si>
  <si>
    <t>Fonoaudiologia</t>
  </si>
  <si>
    <t>Nutricionista - egresso</t>
  </si>
  <si>
    <t>Psicologia</t>
  </si>
  <si>
    <t>Serviço Social</t>
  </si>
  <si>
    <t>Terapia Ocupacional - egresso</t>
  </si>
  <si>
    <t>SADT Externo</t>
  </si>
  <si>
    <t>Biópsia de tireoide (paaf)</t>
  </si>
  <si>
    <t>Tomografia com e sem contraste</t>
  </si>
  <si>
    <t>Ultrassonografia convencional</t>
  </si>
  <si>
    <t>Ultrassonografia Doppler</t>
  </si>
  <si>
    <t>Colonoscopia</t>
  </si>
  <si>
    <t xml:space="preserve">SADT Interno </t>
  </si>
  <si>
    <t xml:space="preserve">Análises Clínicas </t>
  </si>
  <si>
    <t>Anatomia Patológica</t>
  </si>
  <si>
    <t>Ecodoppler</t>
  </si>
  <si>
    <t>Eletrocardiografia</t>
  </si>
  <si>
    <t>Radiografia</t>
  </si>
  <si>
    <t>Tomografia Computadorizada</t>
  </si>
  <si>
    <t>Ultrassonografia</t>
  </si>
  <si>
    <t>Fisioterapia</t>
  </si>
  <si>
    <t>Hemodiálise</t>
  </si>
  <si>
    <t>Odontologia</t>
  </si>
  <si>
    <t xml:space="preserve">Produção Porta de Entrada - Urgência </t>
  </si>
  <si>
    <t>Clínica Médica</t>
  </si>
  <si>
    <t>Obstetrícia</t>
  </si>
  <si>
    <t>Pediatria</t>
  </si>
  <si>
    <t>Produção Ambulatorial</t>
  </si>
  <si>
    <t>BPA</t>
  </si>
  <si>
    <t xml:space="preserve">Sem meta </t>
  </si>
  <si>
    <t>Atendimento às Urgências</t>
  </si>
  <si>
    <t xml:space="preserve">Referenciadas </t>
  </si>
  <si>
    <t>Demanda espontânea</t>
  </si>
  <si>
    <t>Acolhimento, Avaliação e Classificação de Risco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</si>
  <si>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</si>
  <si>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</si>
  <si>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</si>
  <si>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</si>
  <si>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</si>
  <si>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AACR – Branco</t>
  </si>
  <si>
    <t>≤ 15%</t>
  </si>
  <si>
    <t>Nº de cesáreas realizadas</t>
  </si>
  <si>
    <t>Total de partos realizados</t>
  </si>
  <si>
    <t xml:space="preserve">INDICADORES DE DESEMPENHO </t>
  </si>
  <si>
    <t>1. Taxa de Ocupação Hospitalar</t>
  </si>
  <si>
    <t>≥ 85 %</t>
  </si>
  <si>
    <t>Total de pacientes - dia</t>
  </si>
  <si>
    <t>Total de leitos operacionais - dia do período</t>
  </si>
  <si>
    <t>2. Taxa Média/Tempo Médio de Permanência Hospitalar (TMP)</t>
  </si>
  <si>
    <t>≤ 5 dias</t>
  </si>
  <si>
    <t>Total de pacientes-dia no período</t>
  </si>
  <si>
    <t xml:space="preserve"> Total de saídas no período</t>
  </si>
  <si>
    <t>3. Índice de Intervalo de Substituição (horas)</t>
  </si>
  <si>
    <t>≤ 24 h</t>
  </si>
  <si>
    <t>Taxa de ocupação hospitalar</t>
  </si>
  <si>
    <t>Média de tempo de permanência</t>
  </si>
  <si>
    <t>4. Taxa de Readmissão em UTI (48 horas )</t>
  </si>
  <si>
    <t>&lt; 5%</t>
  </si>
  <si>
    <t>Nº de retornos em até 48 horas</t>
  </si>
  <si>
    <t>Nº de saídas da UTI, por alta</t>
  </si>
  <si>
    <t>5. Taxa de Readmissão Hospitalar (29 dias)</t>
  </si>
  <si>
    <t>&lt; 20%</t>
  </si>
  <si>
    <t>Número de pacientes readmitidos entre 0 e 29 dias da última alta hospitalar</t>
  </si>
  <si>
    <t>Número total de internações hospitalares</t>
  </si>
  <si>
    <t xml:space="preserve">6. Percentual de Ocorrência de Glosas no SIH - DATASUS </t>
  </si>
  <si>
    <t>≤ 7%</t>
  </si>
  <si>
    <t>Total de procedimentos rejeitados no SIH</t>
  </si>
  <si>
    <t>total de procedimentos apresentados no SIH</t>
  </si>
  <si>
    <t>7. Percentual de Suspensão de Cirurgias Eletivas por condições operacionais (apresentar os mapas cirúrgicos)</t>
  </si>
  <si>
    <t>≤ 5%</t>
  </si>
  <si>
    <t>Nº de cirurgias eletivas suspensas</t>
  </si>
  <si>
    <t>Nº de cirurgias eletivas ( mapa cirúrgico)</t>
  </si>
  <si>
    <t>8. Percentual de cirurgias eletivas realizadas com TMAT (Tempo máximo aceitável para tratamento) expirado (↓)
para o primeiro ano</t>
  </si>
  <si>
    <t>&lt; 50%</t>
  </si>
  <si>
    <t>Número de cirurgias realizadas com TMAT expirado dividido</t>
  </si>
  <si>
    <t>Número de cirurgias eletivas em lista de espera e encaminhado para unidade</t>
  </si>
  <si>
    <t>&lt; 25%</t>
  </si>
  <si>
    <t>10. Percentual de partos cesáreos</t>
  </si>
  <si>
    <t>11.Taxa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</si>
  <si>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</si>
  <si>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</si>
  <si>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12. Percentual de Exames de Imagem com resultado liberado em até 72 horas</t>
  </si>
  <si>
    <t>≥ 70%</t>
  </si>
  <si>
    <t>Número de consultas ofertadas</t>
  </si>
  <si>
    <t>número de consultas propostas nas metas da unidade</t>
  </si>
  <si>
    <t>13. Percentual de Casos de Doenças/Agravos/Eventos de Notificação Compulsório Imediata (DAEI) Digitadas
Oportunamente - até 7 dias</t>
  </si>
  <si>
    <t>≥ 80%</t>
  </si>
  <si>
    <t>Nº de casos de DAEI digitadas em tempo oportuno - até 7 dias</t>
  </si>
  <si>
    <t>Nº de casos de DAEI digitadas (no período/mês)</t>
  </si>
  <si>
    <t>Nº de casos de DAEI investigadas em tempo oportuno - até 48 horas da data da notificação</t>
  </si>
  <si>
    <t>Nº de casos de DAEI notificadas (no período/mês)</t>
  </si>
  <si>
    <t>15. Taxa de acurácia do estoque</t>
  </si>
  <si>
    <t>≥ 95%</t>
  </si>
  <si>
    <t>Quantitativo de itens de medicamentos em conformidade no estoque (ao comparar físico e sistema)</t>
  </si>
  <si>
    <t>Quantidade total de itens em estoque</t>
  </si>
  <si>
    <t>16. Taxa de perda financeira por vencimento de medicamentos</t>
  </si>
  <si>
    <t>≤ 2%</t>
  </si>
  <si>
    <t>valor financeiro do total de medicamentos em estoque (R$)</t>
  </si>
  <si>
    <t>17. Taxa de aceitabilidade das intervenções farmacêuticas</t>
  </si>
  <si>
    <t>≥ 90%</t>
  </si>
  <si>
    <t>Número de intervenções aceitas</t>
  </si>
  <si>
    <t>Número absoluto de intervenções registradas que requer aceitação</t>
  </si>
  <si>
    <t xml:space="preserve">Taxa de Ocupação Hospitalar </t>
  </si>
  <si>
    <t>Unidade de Internação</t>
  </si>
  <si>
    <t>Enfermaria Adulto Clínico</t>
  </si>
  <si>
    <t>Enfermaria Cirúrgica</t>
  </si>
  <si>
    <t>Enfermaria Obstétrica</t>
  </si>
  <si>
    <t>Enfermaria Pediátrica</t>
  </si>
  <si>
    <t>Enfermaria Saúde Mental</t>
  </si>
  <si>
    <t>UCIN</t>
  </si>
  <si>
    <t>UTI adulto</t>
  </si>
  <si>
    <t>Geral</t>
  </si>
  <si>
    <t xml:space="preserve">Tempo Médio de Permanência </t>
  </si>
  <si>
    <t>Indice de Intervalo de Substituição</t>
  </si>
  <si>
    <t>Indicador Hospitalar de Efetividade</t>
  </si>
  <si>
    <t>Indicador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</si>
  <si>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</si>
  <si>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</si>
  <si>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</si>
  <si>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</si>
  <si>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</si>
  <si>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Operatória(Óbito em até 07 dias do pós-operatório)</t>
  </si>
  <si>
    <t>Taxa de Cirurgia de Urgência</t>
  </si>
  <si>
    <t>Cirurgias de Urgência/ Emergência</t>
  </si>
  <si>
    <t>Total de Cirurgias</t>
  </si>
  <si>
    <t>Número de Funcionários e Leitos Operacionais</t>
  </si>
  <si>
    <t>Número de  enfermeiro (Todos os vínculos)</t>
  </si>
  <si>
    <t>Número de 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</si>
  <si>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</si>
  <si>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</si>
  <si>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</si>
  <si>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</si>
  <si>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Indicador de Gestão de Recursos Humanos</t>
  </si>
  <si>
    <t>Relação Enfermeiro(as)/ Leito</t>
  </si>
  <si>
    <t>Relação Enfermagem/Leito</t>
  </si>
  <si>
    <t>Relação Funcionário(as) / Leito</t>
  </si>
  <si>
    <t>Turnover (%)</t>
  </si>
  <si>
    <t>% de médicos(as) especialistas</t>
  </si>
  <si>
    <t>Taxa de Absenteísmo (%) - Estatutário</t>
  </si>
  <si>
    <t>Profissão</t>
  </si>
  <si>
    <t>Biomédico</t>
  </si>
  <si>
    <t>Cirurgião -Dentista</t>
  </si>
  <si>
    <t>Enfermeiro</t>
  </si>
  <si>
    <t>Fisioterapeuta</t>
  </si>
  <si>
    <t>Médico</t>
  </si>
  <si>
    <t>Técnico em Enfermagem</t>
  </si>
  <si>
    <t>Auxiliar de Enfermagem</t>
  </si>
  <si>
    <t>Auxiliar de Laboratório</t>
  </si>
  <si>
    <t>Assistente Técnico de Saúde</t>
  </si>
  <si>
    <t>Auxiliar Técnico de Saúde</t>
  </si>
  <si>
    <t>Técnico em Radiologia</t>
  </si>
  <si>
    <t>Auxiliar de Radiologia</t>
  </si>
  <si>
    <t>Técnico em Laboratório</t>
  </si>
  <si>
    <t>Técnico em Imobilização Ortopédica</t>
  </si>
  <si>
    <t>Auxiliar de Serviços Gerais</t>
  </si>
  <si>
    <t>Geral*</t>
  </si>
  <si>
    <t>Obs: a taxa de absenteísmo GERAL corresponde a todos os profissionais da unidade</t>
  </si>
  <si>
    <t xml:space="preserve">Indicador Ambulatorial </t>
  </si>
  <si>
    <t>Taxa de Absenteísmo (%)</t>
  </si>
  <si>
    <t>Consultas Não Médicas</t>
  </si>
  <si>
    <t>Taxa de Absenteísmo (%) - Celetista</t>
  </si>
  <si>
    <t>Clínica Geral</t>
  </si>
  <si>
    <t>Meta</t>
  </si>
  <si>
    <t xml:space="preserve">Meta </t>
  </si>
  <si>
    <t>Endoscopia digestiva Alta</t>
  </si>
  <si>
    <t>Em apuração</t>
  </si>
  <si>
    <t>Meta Mensal</t>
  </si>
  <si>
    <t>PCM</t>
  </si>
  <si>
    <t>14. Percentual de Casos de Doenças/Agravos/Eventos de Notificação Compulsório Imediata (DAEI) Investigadas Oportunamente - até 48 horas da data da notificação</t>
  </si>
  <si>
    <t>Valor financeiro da perda de medicamento padronizado por validade expirada no mês R$</t>
  </si>
  <si>
    <t>Exemplo % de alcance</t>
  </si>
  <si>
    <t>mês</t>
  </si>
  <si>
    <t xml:space="preserve">mês </t>
  </si>
  <si>
    <t>Serviço de Farmácia Hospitalar</t>
  </si>
  <si>
    <t>Disponibilidade do farmacêutico 24 horas durante todo o mês</t>
  </si>
  <si>
    <t>100% da cobertura do profissional</t>
  </si>
  <si>
    <t>Prescrições analisadas por profissional farmacêutico por mês</t>
  </si>
  <si>
    <t>100% de prescrições analisadas</t>
  </si>
  <si>
    <t>Notificações de eventos adversos envolvendo medicamentos tratadas pelo serviço de farmácia por mês</t>
  </si>
  <si>
    <t>100% das notificações tratadas pelo serviço de farmácia</t>
  </si>
  <si>
    <t>Ginecologia/obstetrícia (cesariana)</t>
  </si>
  <si>
    <t>Anestesista</t>
  </si>
  <si>
    <t>Sem Meta</t>
  </si>
  <si>
    <t>Clinica Geral</t>
  </si>
  <si>
    <t>Ecocardiografia</t>
  </si>
  <si>
    <t>Neurologia</t>
  </si>
  <si>
    <t>9. Percentual de cirurgias eletivas realizadas com TMAT (Tempo máximo aceitável para tratamento) expirado (↓)
para o segundo ano</t>
  </si>
  <si>
    <t>Indicador não contemplado para unidade</t>
  </si>
  <si>
    <t>Produção Assistencial ANO 2025 - NOVEMBRO</t>
  </si>
  <si>
    <t>0 % de alcance não é enviado no portfólio, foi inserido para auxilio no preenchimento do Relatório</t>
  </si>
  <si>
    <t>Ginecologia/Obstetricia</t>
  </si>
  <si>
    <t>-</t>
  </si>
  <si>
    <t>2 leitos bloqueados</t>
  </si>
  <si>
    <t>11 leitos bloqueados</t>
  </si>
  <si>
    <t>13 leitos bloqueados, sendo 11 internação obstetrica e 2 de UCIN</t>
  </si>
  <si>
    <t>Obs: Para taxa de ocupação considerar 13 leitos bloqueados, sendo 11 internação obstetrica e 2 leitos de UCIN</t>
  </si>
  <si>
    <t xml:space="preserve">INDICADORES DE DESEMPENHO - Novembro/ 2025 </t>
  </si>
  <si>
    <t xml:space="preserve">INDICADORES DE EFETIVIDADE- Novembro /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</si>
</sst>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[$-416]mmm/yy"/>
    <numFmt numFmtId="165" formatCode="#,##0.00\ ;\-#,##0.00\ ;\-#\ ;@\ "/>
    <numFmt numFmtId="166" formatCode="#,##0.0"/>
    <numFmt numFmtId="167" formatCode="0.0%"/>
    <numFmt numFmtId="168" formatCode="0.000"/>
  </numFmts>
  <fonts count="18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theme="1"/>
      <name val="Aptos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C0000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81D41A"/>
      </patternFill>
    </fill>
    <fill>
      <patternFill patternType="solid">
        <fgColor rgb="FF00B0F0"/>
        <bgColor rgb="FF008080"/>
      </patternFill>
    </fill>
    <fill>
      <patternFill patternType="solid">
        <fgColor rgb="FFEEEEEE"/>
        <bgColor rgb="FFF2F2F2"/>
      </patternFill>
    </fill>
    <fill>
      <patternFill patternType="solid">
        <fgColor theme="3" tint="0.79998168889431442"/>
        <bgColor rgb="FFDDDDDD"/>
      </patternFill>
    </fill>
    <fill>
      <patternFill patternType="solid">
        <fgColor theme="3" tint="0.79979857783745845"/>
        <bgColor rgb="FFDDDDDD"/>
      </patternFill>
    </fill>
    <fill>
      <patternFill patternType="solid">
        <fgColor theme="4" tint="0.79998168889431442"/>
        <bgColor rgb="FFDDDDDD"/>
      </patternFill>
    </fill>
    <fill>
      <patternFill patternType="solid">
        <fgColor theme="3" tint="0.79998168889431442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rgb="FF92D050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8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rgb="FFAFD09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0" borderId="0" applyBorder="0" applyProtection="0"/>
    <xf numFmtId="165" fontId="7" fillId="0" borderId="0" applyBorder="0" applyProtection="0"/>
    <xf numFmtId="9" fontId="7" fillId="0" borderId="0" applyBorder="0" applyProtection="0"/>
    <xf numFmtId="44" fontId="4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10" fontId="11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" fillId="25" borderId="4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 wrapText="1"/>
    </xf>
    <xf numFmtId="0" fontId="1" fillId="25" borderId="2" xfId="0" applyFont="1" applyFill="1" applyBorder="1" applyAlignment="1">
      <alignment horizontal="left" vertical="center" wrapText="1"/>
    </xf>
    <xf numFmtId="0" fontId="9" fillId="24" borderId="2" xfId="0" applyFont="1" applyFill="1" applyBorder="1" applyAlignment="1">
      <alignment wrapText="1"/>
    </xf>
    <xf numFmtId="0" fontId="9" fillId="24" borderId="2" xfId="0" applyFont="1" applyFill="1" applyBorder="1"/>
    <xf numFmtId="0" fontId="9" fillId="24" borderId="1" xfId="0" applyFont="1" applyFill="1" applyBorder="1"/>
    <xf numFmtId="0" fontId="9" fillId="24" borderId="1" xfId="0" applyFont="1" applyFill="1" applyBorder="1" applyAlignment="1">
      <alignment horizontal="left" wrapText="1"/>
    </xf>
    <xf numFmtId="0" fontId="9" fillId="24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 wrapText="1"/>
    </xf>
    <xf numFmtId="9" fontId="5" fillId="5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64" fontId="1" fillId="1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25" borderId="2" xfId="0" applyFont="1" applyFill="1" applyBorder="1" applyAlignment="1">
      <alignment horizontal="center" vertical="center"/>
    </xf>
    <xf numFmtId="10" fontId="9" fillId="24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2" fontId="9" fillId="24" borderId="2" xfId="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9" fillId="24" borderId="2" xfId="2" applyNumberFormat="1" applyFont="1" applyFill="1" applyBorder="1" applyAlignment="1">
      <alignment horizontal="center" vertical="center"/>
    </xf>
    <xf numFmtId="9" fontId="9" fillId="24" borderId="2" xfId="2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0" fontId="8" fillId="15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2" fontId="5" fillId="0" borderId="2" xfId="0" applyNumberFormat="1" applyFont="1" applyBorder="1" applyAlignment="1">
      <alignment horizontal="center" vertical="center"/>
    </xf>
    <xf numFmtId="0" fontId="14" fillId="27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9" fillId="28" borderId="1" xfId="0" applyFont="1" applyFill="1" applyBorder="1" applyAlignment="1">
      <alignment horizontal="center" vertical="center"/>
    </xf>
    <xf numFmtId="9" fontId="11" fillId="0" borderId="0" xfId="2" applyFont="1"/>
    <xf numFmtId="3" fontId="9" fillId="0" borderId="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5" fillId="0" borderId="1" xfId="2" applyFont="1" applyBorder="1"/>
    <xf numFmtId="2" fontId="9" fillId="0" borderId="2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8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44" fontId="5" fillId="0" borderId="2" xfId="6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0" fontId="9" fillId="29" borderId="1" xfId="0" applyFont="1" applyFill="1" applyBorder="1" applyAlignment="1">
      <alignment wrapText="1"/>
    </xf>
    <xf numFmtId="0" fontId="9" fillId="29" borderId="1" xfId="0" applyFont="1" applyFill="1" applyBorder="1"/>
    <xf numFmtId="2" fontId="9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16" fillId="0" borderId="0" xfId="0" applyFont="1"/>
    <xf numFmtId="10" fontId="11" fillId="0" borderId="0" xfId="0" applyNumberFormat="1" applyFont="1"/>
    <xf numFmtId="0" fontId="12" fillId="0" borderId="1" xfId="0" applyFont="1" applyBorder="1" applyAlignment="1">
      <alignment horizontal="left"/>
    </xf>
    <xf numFmtId="1" fontId="1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2" fillId="0" borderId="1" xfId="0" applyFont="1" applyBorder="1" applyAlignment="1">
      <alignment horizontal="center"/>
    </xf>
    <xf numFmtId="0" fontId="9" fillId="18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/>
    </xf>
    <xf numFmtId="0" fontId="8" fillId="28" borderId="1" xfId="0" applyFont="1" applyFill="1" applyBorder="1" applyAlignment="1">
      <alignment horizontal="center" wrapText="1"/>
    </xf>
    <xf numFmtId="0" fontId="15" fillId="28" borderId="1" xfId="0" applyFont="1" applyFill="1" applyBorder="1" applyAlignment="1">
      <alignment horizontal="center" wrapText="1"/>
    </xf>
    <xf numFmtId="9" fontId="8" fillId="0" borderId="1" xfId="2" applyFont="1" applyFill="1" applyBorder="1"/>
    <xf numFmtId="10" fontId="12" fillId="1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6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24" borderId="4" xfId="0" applyFont="1" applyFill="1" applyBorder="1" applyAlignment="1">
      <alignment horizontal="center" vertical="center"/>
    </xf>
    <xf numFmtId="0" fontId="9" fillId="24" borderId="5" xfId="0" applyFont="1" applyFill="1" applyBorder="1" applyAlignment="1">
      <alignment horizontal="center" vertical="center"/>
    </xf>
    <xf numFmtId="0" fontId="9" fillId="24" borderId="6" xfId="0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center" vertical="center"/>
    </xf>
    <xf numFmtId="0" fontId="8" fillId="26" borderId="7" xfId="0" applyFont="1" applyFill="1" applyBorder="1" applyAlignment="1">
      <alignment horizontal="center" vertical="center" wrapText="1"/>
    </xf>
    <xf numFmtId="0" fontId="8" fillId="26" borderId="0" xfId="0" applyFont="1" applyFill="1" applyAlignment="1">
      <alignment horizontal="center" vertical="center" wrapText="1"/>
    </xf>
    <xf numFmtId="0" fontId="10" fillId="21" borderId="8" xfId="0" applyFont="1" applyFill="1" applyBorder="1" applyAlignment="1">
      <alignment horizontal="center" vertical="center" wrapText="1"/>
    </xf>
    <xf numFmtId="0" fontId="10" fillId="21" borderId="9" xfId="0" applyFont="1" applyFill="1" applyBorder="1" applyAlignment="1">
      <alignment horizontal="center" vertical="center" wrapText="1"/>
    </xf>
    <xf numFmtId="0" fontId="10" fillId="22" borderId="8" xfId="0" applyFont="1" applyFill="1" applyBorder="1" applyAlignment="1">
      <alignment horizontal="center" vertical="center" wrapText="1"/>
    </xf>
    <xf numFmtId="0" fontId="10" fillId="22" borderId="9" xfId="0" applyFont="1" applyFill="1" applyBorder="1" applyAlignment="1">
      <alignment horizontal="center" vertical="center" wrapText="1"/>
    </xf>
    <xf numFmtId="166" fontId="1" fillId="23" borderId="4" xfId="0" applyNumberFormat="1" applyFont="1" applyFill="1" applyBorder="1" applyAlignment="1">
      <alignment horizontal="center" vertical="center"/>
    </xf>
    <xf numFmtId="166" fontId="1" fillId="23" borderId="5" xfId="0" applyNumberFormat="1" applyFont="1" applyFill="1" applyBorder="1" applyAlignment="1">
      <alignment horizontal="center" vertical="center"/>
    </xf>
    <xf numFmtId="166" fontId="1" fillId="2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9" fontId="9" fillId="24" borderId="4" xfId="0" applyNumberFormat="1" applyFont="1" applyFill="1" applyBorder="1" applyAlignment="1">
      <alignment horizontal="center" vertical="center"/>
    </xf>
    <xf numFmtId="9" fontId="9" fillId="24" borderId="5" xfId="0" applyNumberFormat="1" applyFont="1" applyFill="1" applyBorder="1" applyAlignment="1">
      <alignment horizontal="center" vertical="center"/>
    </xf>
    <xf numFmtId="9" fontId="9" fillId="24" borderId="6" xfId="0" applyNumberFormat="1" applyFont="1" applyFill="1" applyBorder="1" applyAlignment="1">
      <alignment horizontal="center" vertical="center"/>
    </xf>
    <xf numFmtId="0" fontId="9" fillId="29" borderId="4" xfId="0" applyFont="1" applyFill="1" applyBorder="1" applyAlignment="1">
      <alignment horizontal="center" vertical="center"/>
    </xf>
    <xf numFmtId="0" fontId="9" fillId="29" borderId="5" xfId="0" applyFont="1" applyFill="1" applyBorder="1" applyAlignment="1">
      <alignment horizontal="center" vertical="center"/>
    </xf>
    <xf numFmtId="0" fontId="9" fillId="29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0" fontId="8" fillId="15" borderId="4" xfId="0" applyNumberFormat="1" applyFont="1" applyFill="1" applyBorder="1" applyAlignment="1">
      <alignment horizontal="center" vertical="center" wrapText="1"/>
    </xf>
    <xf numFmtId="10" fontId="8" fillId="15" borderId="5" xfId="0" applyNumberFormat="1" applyFont="1" applyFill="1" applyBorder="1" applyAlignment="1">
      <alignment horizontal="center" vertical="center" wrapText="1"/>
    </xf>
    <xf numFmtId="10" fontId="8" fillId="15" borderId="6" xfId="0" applyNumberFormat="1" applyFont="1" applyFill="1" applyBorder="1" applyAlignment="1">
      <alignment horizontal="center" vertical="center" wrapText="1"/>
    </xf>
  </cellXfs>
  <cellStyles count="7">
    <cellStyle name="Moeda" xfId="6" builtinId="4"/>
    <cellStyle name="Normal" xfId="0" builtinId="0"/>
    <cellStyle name="Normal 3" xfId="3" xr:uid="{F6E7DACE-C1EE-466D-9490-32E1B78FFFAD}"/>
    <cellStyle name="Normal 4" xfId="1" xr:uid="{09CD4ADB-5178-4A0E-9547-AE553424D294}"/>
    <cellStyle name="Porcentagem" xfId="2" builtinId="5"/>
    <cellStyle name="Porcentagem 2" xfId="5" xr:uid="{D19AC3D9-C8FB-4727-9A15-C32272A587DE}"/>
    <cellStyle name="Vírgula 2" xfId="4" xr:uid="{C0CD219F-8AEE-492D-A331-F78BE57F34EC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118269</xdr:rowOff>
    </xdr:from>
    <xdr:to>
      <xdr:col>0</xdr:col>
      <xdr:colOff>1306355</xdr:colOff>
      <xdr:row>0</xdr:row>
      <xdr:rowOff>599811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B5801C-E515-4FEF-95E6-FB01E593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118269"/>
          <a:ext cx="1288098" cy="481542"/>
        </a:xfrm>
        <a:prstGeom prst="rect">
          <a:avLst/>
        </a:prstGeom>
      </xdr:spPr>
    </xdr:pic>
    <xdr:clientData/>
  </xdr:twoCellAnchor>
  <xdr:twoCellAnchor editAs="oneCell">
    <xdr:from>
      <xdr:col>1</xdr:col>
      <xdr:colOff>717550</xdr:colOff>
      <xdr:row>0</xdr:row>
      <xdr:rowOff>38100</xdr:rowOff>
    </xdr:from>
    <xdr:to>
      <xdr:col>4</xdr:col>
      <xdr:colOff>49053</xdr:colOff>
      <xdr:row>0</xdr:row>
      <xdr:rowOff>597220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2A223965-AAC2-4C2A-BC8F-543721D7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100"/>
          <a:ext cx="2465228" cy="562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1288098</xdr:colOff>
      <xdr:row>1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EDC3CF-A411-4F35-88AB-B7830E65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8098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622066</xdr:colOff>
      <xdr:row>0</xdr:row>
      <xdr:rowOff>0</xdr:rowOff>
    </xdr:from>
    <xdr:to>
      <xdr:col>11</xdr:col>
      <xdr:colOff>122924</xdr:colOff>
      <xdr:row>0</xdr:row>
      <xdr:rowOff>621989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131F33A5-EC43-416C-BF9C-55887632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164" y="0"/>
          <a:ext cx="3171467" cy="6156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1316673</xdr:colOff>
      <xdr:row>0</xdr:row>
      <xdr:rowOff>615950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199A07-C363-4F36-BEA0-370A92A4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288098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31749</xdr:rowOff>
    </xdr:from>
    <xdr:to>
      <xdr:col>1</xdr:col>
      <xdr:colOff>2295894</xdr:colOff>
      <xdr:row>0</xdr:row>
      <xdr:rowOff>627591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9C9AF59A-7F9C-4AB8-8571-253C4E7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899" y="31749"/>
          <a:ext cx="2241920" cy="595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63E-5420-4ADC-9434-5449D49F705D}">
  <sheetPr>
    <pageSetUpPr fitToPage="1"/>
  </sheetPr>
  <dimension ref="A1:D143"/>
  <sheetViews>
    <sheetView tabSelected="1" topLeftCell="A32" zoomScale="80" zoomScaleNormal="80" workbookViewId="0">
      <selection activeCell="K42" sqref="K42"/>
    </sheetView>
  </sheetViews>
  <sheetFormatPr defaultColWidth="8.7265625" defaultRowHeight="15.5" x14ac:dyDescent="0.35"/>
  <cols>
    <col min="1" max="1" width="58" style="1" bestFit="1" customWidth="1"/>
    <col min="2" max="2" width="20.26953125" style="8" customWidth="1"/>
    <col min="3" max="3" width="24.54296875" style="8" customWidth="1"/>
    <col min="4" max="4" width="14.1796875" style="8" hidden="1" customWidth="1"/>
    <col min="5" max="16384" width="8.7265625" style="8"/>
  </cols>
  <sheetData>
    <row r="1" spans="1:4" ht="49.5" customHeight="1" x14ac:dyDescent="0.35">
      <c r="A1" s="131"/>
      <c r="B1" s="132"/>
      <c r="C1" s="133"/>
    </row>
    <row r="2" spans="1:4" ht="18.75" customHeight="1" x14ac:dyDescent="0.35">
      <c r="A2" s="134" t="s">
        <v>7</v>
      </c>
      <c r="B2" s="134"/>
      <c r="C2" s="134"/>
    </row>
    <row r="3" spans="1:4" ht="18.75" customHeight="1" x14ac:dyDescent="0.35">
      <c r="A3" s="135" t="s">
        <v>234</v>
      </c>
      <c r="B3" s="135"/>
      <c r="C3" s="135"/>
    </row>
    <row r="4" spans="1:4" ht="30" customHeight="1" x14ac:dyDescent="0.35">
      <c r="A4" s="25" t="s">
        <v>0</v>
      </c>
      <c r="B4" s="25" t="s">
        <v>212</v>
      </c>
      <c r="C4" s="26" t="s">
        <v>217</v>
      </c>
    </row>
    <row r="5" spans="1:4" ht="21" customHeight="1" x14ac:dyDescent="0.35">
      <c r="A5" s="21" t="s">
        <v>1</v>
      </c>
      <c r="B5" s="9">
        <v>186</v>
      </c>
      <c r="C5" s="2">
        <v>360</v>
      </c>
      <c r="D5" s="14">
        <f>C5/B5</f>
        <v>1.935483870967742</v>
      </c>
    </row>
    <row r="6" spans="1:4" ht="20.25" customHeight="1" x14ac:dyDescent="0.35">
      <c r="A6" s="21" t="s">
        <v>2</v>
      </c>
      <c r="B6" s="9">
        <v>353</v>
      </c>
      <c r="C6" s="2">
        <v>215</v>
      </c>
      <c r="D6" s="14">
        <f t="shared" ref="D6:D11" si="0">C6/B6</f>
        <v>0.60906515580736542</v>
      </c>
    </row>
    <row r="7" spans="1:4" ht="19.5" customHeight="1" x14ac:dyDescent="0.35">
      <c r="A7" s="21" t="s">
        <v>3</v>
      </c>
      <c r="B7" s="9">
        <v>52</v>
      </c>
      <c r="C7" s="2">
        <v>37</v>
      </c>
      <c r="D7" s="14">
        <f t="shared" si="0"/>
        <v>0.71153846153846156</v>
      </c>
    </row>
    <row r="8" spans="1:4" ht="20.25" customHeight="1" x14ac:dyDescent="0.35">
      <c r="A8" s="21" t="s">
        <v>4</v>
      </c>
      <c r="B8" s="9">
        <v>10</v>
      </c>
      <c r="C8" s="2">
        <v>12</v>
      </c>
      <c r="D8" s="14">
        <f t="shared" si="0"/>
        <v>1.2</v>
      </c>
    </row>
    <row r="9" spans="1:4" ht="18.75" customHeight="1" x14ac:dyDescent="0.35">
      <c r="A9" s="21" t="s">
        <v>5</v>
      </c>
      <c r="B9" s="9">
        <v>114</v>
      </c>
      <c r="C9" s="2">
        <v>88</v>
      </c>
      <c r="D9" s="14">
        <f t="shared" si="0"/>
        <v>0.77192982456140347</v>
      </c>
    </row>
    <row r="10" spans="1:4" ht="17.25" customHeight="1" x14ac:dyDescent="0.35">
      <c r="A10" s="21" t="s">
        <v>6</v>
      </c>
      <c r="B10" s="9">
        <v>17</v>
      </c>
      <c r="C10" s="2">
        <v>22</v>
      </c>
      <c r="D10" s="14">
        <f t="shared" si="0"/>
        <v>1.2941176470588236</v>
      </c>
    </row>
    <row r="11" spans="1:4" ht="17.25" customHeight="1" x14ac:dyDescent="0.35">
      <c r="A11" s="6" t="s">
        <v>14</v>
      </c>
      <c r="B11" s="9">
        <f>SUM(B5:B10)</f>
        <v>732</v>
      </c>
      <c r="C11" s="9">
        <f>SUM(C5:C10)</f>
        <v>734</v>
      </c>
      <c r="D11" s="14">
        <f t="shared" si="0"/>
        <v>1.0027322404371584</v>
      </c>
    </row>
    <row r="12" spans="1:4" ht="18.75" customHeight="1" x14ac:dyDescent="0.35">
      <c r="A12" s="127"/>
      <c r="B12" s="127"/>
      <c r="C12" s="127"/>
    </row>
    <row r="13" spans="1:4" ht="26.25" customHeight="1" x14ac:dyDescent="0.35">
      <c r="A13" s="27" t="s">
        <v>8</v>
      </c>
      <c r="B13" s="28" t="s">
        <v>212</v>
      </c>
      <c r="C13" s="26" t="s">
        <v>217</v>
      </c>
    </row>
    <row r="14" spans="1:4" ht="32.25" customHeight="1" x14ac:dyDescent="0.35">
      <c r="A14" s="20" t="s">
        <v>9</v>
      </c>
      <c r="B14" s="15">
        <v>258</v>
      </c>
      <c r="C14" s="3">
        <v>231</v>
      </c>
      <c r="D14" s="14">
        <f>C14/B14</f>
        <v>0.89534883720930236</v>
      </c>
    </row>
    <row r="15" spans="1:4" ht="18" customHeight="1" x14ac:dyDescent="0.35">
      <c r="A15" s="127"/>
      <c r="B15" s="127"/>
      <c r="C15" s="127"/>
      <c r="D15" s="14"/>
    </row>
    <row r="16" spans="1:4" ht="25.5" customHeight="1" x14ac:dyDescent="0.35">
      <c r="A16" s="28" t="s">
        <v>10</v>
      </c>
      <c r="B16" s="28" t="s">
        <v>212</v>
      </c>
      <c r="C16" s="26" t="s">
        <v>217</v>
      </c>
      <c r="D16" s="14"/>
    </row>
    <row r="17" spans="1:4" ht="24.75" customHeight="1" x14ac:dyDescent="0.35">
      <c r="A17" s="24" t="s">
        <v>11</v>
      </c>
      <c r="B17" s="9">
        <v>96</v>
      </c>
      <c r="C17" s="3">
        <v>83</v>
      </c>
      <c r="D17" s="14">
        <f t="shared" ref="D17:D19" si="1">C17/B17</f>
        <v>0.86458333333333337</v>
      </c>
    </row>
    <row r="18" spans="1:4" ht="38.25" customHeight="1" x14ac:dyDescent="0.35">
      <c r="A18" s="24" t="s">
        <v>12</v>
      </c>
      <c r="B18" s="9">
        <v>48</v>
      </c>
      <c r="C18" s="4">
        <v>12</v>
      </c>
      <c r="D18" s="14">
        <f t="shared" si="1"/>
        <v>0.25</v>
      </c>
    </row>
    <row r="19" spans="1:4" ht="34.5" customHeight="1" x14ac:dyDescent="0.35">
      <c r="A19" s="24" t="s">
        <v>13</v>
      </c>
      <c r="B19" s="9">
        <v>32</v>
      </c>
      <c r="C19" s="3">
        <v>14</v>
      </c>
      <c r="D19" s="14">
        <f t="shared" si="1"/>
        <v>0.4375</v>
      </c>
    </row>
    <row r="20" spans="1:4" ht="18" customHeight="1" x14ac:dyDescent="0.35">
      <c r="A20" s="6" t="s">
        <v>14</v>
      </c>
      <c r="B20" s="16">
        <f>SUM(B17:B19)</f>
        <v>176</v>
      </c>
      <c r="C20" s="16">
        <f>SUM(C17:C19)</f>
        <v>109</v>
      </c>
      <c r="D20" s="14">
        <f>C20/B20</f>
        <v>0.61931818181818177</v>
      </c>
    </row>
    <row r="21" spans="1:4" ht="17.25" customHeight="1" x14ac:dyDescent="0.35">
      <c r="A21" s="125"/>
      <c r="B21" s="125"/>
      <c r="C21" s="125"/>
      <c r="D21" s="105"/>
    </row>
    <row r="22" spans="1:4" ht="28.5" customHeight="1" x14ac:dyDescent="0.35">
      <c r="A22" s="29" t="s">
        <v>15</v>
      </c>
      <c r="B22" s="25" t="s">
        <v>209</v>
      </c>
      <c r="C22" s="26" t="s">
        <v>217</v>
      </c>
      <c r="D22" s="105"/>
    </row>
    <row r="23" spans="1:4" ht="19.5" customHeight="1" x14ac:dyDescent="0.35">
      <c r="A23" s="23" t="s">
        <v>16</v>
      </c>
      <c r="B23" s="125">
        <v>176</v>
      </c>
      <c r="C23" s="2">
        <v>3</v>
      </c>
      <c r="D23" s="14">
        <f>C23/B23</f>
        <v>1.7045454545454544E-2</v>
      </c>
    </row>
    <row r="24" spans="1:4" ht="19.5" customHeight="1" x14ac:dyDescent="0.35">
      <c r="A24" s="23" t="s">
        <v>17</v>
      </c>
      <c r="B24" s="125"/>
      <c r="C24" s="2">
        <v>46</v>
      </c>
      <c r="D24" s="14">
        <f>C24/B23</f>
        <v>0.26136363636363635</v>
      </c>
    </row>
    <row r="25" spans="1:4" ht="19.5" customHeight="1" x14ac:dyDescent="0.35">
      <c r="A25" s="23" t="s">
        <v>18</v>
      </c>
      <c r="B25" s="125"/>
      <c r="C25" s="2">
        <v>19</v>
      </c>
      <c r="D25" s="14">
        <f>C25/B23</f>
        <v>0.10795454545454546</v>
      </c>
    </row>
    <row r="26" spans="1:4" ht="19.5" customHeight="1" x14ac:dyDescent="0.35">
      <c r="A26" s="23" t="s">
        <v>19</v>
      </c>
      <c r="B26" s="125"/>
      <c r="C26" s="2">
        <v>9</v>
      </c>
      <c r="D26" s="14">
        <f>C26/B23</f>
        <v>5.113636363636364E-2</v>
      </c>
    </row>
    <row r="27" spans="1:4" ht="19.5" customHeight="1" x14ac:dyDescent="0.35">
      <c r="A27" s="23" t="s">
        <v>20</v>
      </c>
      <c r="B27" s="125"/>
      <c r="C27" s="2">
        <v>231</v>
      </c>
      <c r="D27" s="14">
        <f>C27/B23</f>
        <v>1.3125</v>
      </c>
    </row>
    <row r="28" spans="1:4" ht="19.5" customHeight="1" x14ac:dyDescent="0.35">
      <c r="A28" s="23" t="s">
        <v>21</v>
      </c>
      <c r="B28" s="125"/>
      <c r="C28" s="2">
        <v>24</v>
      </c>
      <c r="D28" s="14">
        <f>C28/B23</f>
        <v>0.13636363636363635</v>
      </c>
    </row>
    <row r="29" spans="1:4" ht="19.5" customHeight="1" x14ac:dyDescent="0.35">
      <c r="A29" s="23" t="s">
        <v>22</v>
      </c>
      <c r="B29" s="125"/>
      <c r="C29" s="2">
        <v>0</v>
      </c>
      <c r="D29" s="14">
        <f>C29/B23</f>
        <v>0</v>
      </c>
    </row>
    <row r="30" spans="1:4" ht="19.5" customHeight="1" x14ac:dyDescent="0.35">
      <c r="A30" s="23" t="s">
        <v>23</v>
      </c>
      <c r="B30" s="125"/>
      <c r="C30" s="2">
        <v>8</v>
      </c>
      <c r="D30" s="14">
        <f>C30/B23</f>
        <v>4.5454545454545456E-2</v>
      </c>
    </row>
    <row r="31" spans="1:4" ht="20.25" customHeight="1" x14ac:dyDescent="0.35">
      <c r="A31" s="6" t="s">
        <v>14</v>
      </c>
      <c r="B31" s="125"/>
      <c r="C31" s="31">
        <f>SUM(C23:C30)</f>
        <v>340</v>
      </c>
      <c r="D31" s="14">
        <f>C31/B23</f>
        <v>1.9318181818181819</v>
      </c>
    </row>
    <row r="32" spans="1:4" ht="107.25" customHeight="1" x14ac:dyDescent="0.35">
      <c r="A32" s="125"/>
      <c r="B32" s="125"/>
      <c r="C32" s="125"/>
    </row>
    <row r="33" spans="1:4" ht="32.25" customHeight="1" x14ac:dyDescent="0.35">
      <c r="A33" s="126" t="s">
        <v>24</v>
      </c>
      <c r="B33" s="25" t="s">
        <v>209</v>
      </c>
      <c r="C33" s="26" t="s">
        <v>217</v>
      </c>
    </row>
    <row r="34" spans="1:4" ht="18" customHeight="1" x14ac:dyDescent="0.35">
      <c r="A34" s="126"/>
      <c r="B34" s="17" t="s">
        <v>25</v>
      </c>
      <c r="C34" s="10">
        <f>C43</f>
        <v>174</v>
      </c>
    </row>
    <row r="35" spans="1:4" ht="10.5" customHeight="1" x14ac:dyDescent="0.35">
      <c r="A35" s="125"/>
      <c r="B35" s="125"/>
      <c r="C35" s="125"/>
    </row>
    <row r="36" spans="1:4" ht="30" customHeight="1" x14ac:dyDescent="0.35">
      <c r="A36" s="110" t="s">
        <v>26</v>
      </c>
      <c r="B36" s="25" t="s">
        <v>209</v>
      </c>
      <c r="C36" s="26" t="s">
        <v>217</v>
      </c>
    </row>
    <row r="37" spans="1:4" ht="21" customHeight="1" x14ac:dyDescent="0.35">
      <c r="A37" s="23" t="s">
        <v>16</v>
      </c>
      <c r="B37" s="130" t="s">
        <v>25</v>
      </c>
      <c r="C37" s="2">
        <v>1</v>
      </c>
    </row>
    <row r="38" spans="1:4" ht="21" customHeight="1" x14ac:dyDescent="0.35">
      <c r="A38" s="22" t="s">
        <v>27</v>
      </c>
      <c r="B38" s="130"/>
      <c r="C38" s="2">
        <v>35</v>
      </c>
    </row>
    <row r="39" spans="1:4" ht="21" customHeight="1" x14ac:dyDescent="0.35">
      <c r="A39" s="22" t="s">
        <v>18</v>
      </c>
      <c r="B39" s="130"/>
      <c r="C39" s="2">
        <v>0</v>
      </c>
    </row>
    <row r="40" spans="1:4" ht="21" customHeight="1" x14ac:dyDescent="0.35">
      <c r="A40" s="22" t="s">
        <v>226</v>
      </c>
      <c r="B40" s="130"/>
      <c r="C40" s="2">
        <v>58</v>
      </c>
    </row>
    <row r="41" spans="1:4" ht="21" customHeight="1" x14ac:dyDescent="0.35">
      <c r="A41" s="23" t="s">
        <v>21</v>
      </c>
      <c r="B41" s="130"/>
      <c r="C41" s="2">
        <v>76</v>
      </c>
    </row>
    <row r="42" spans="1:4" ht="21" customHeight="1" x14ac:dyDescent="0.35">
      <c r="A42" s="23" t="s">
        <v>23</v>
      </c>
      <c r="B42" s="130"/>
      <c r="C42" s="2">
        <v>4</v>
      </c>
    </row>
    <row r="43" spans="1:4" ht="21" customHeight="1" x14ac:dyDescent="0.35">
      <c r="A43" s="6" t="s">
        <v>14</v>
      </c>
      <c r="B43" s="130"/>
      <c r="C43" s="17">
        <f>SUM(C37:C42)</f>
        <v>174</v>
      </c>
    </row>
    <row r="44" spans="1:4" ht="18.75" customHeight="1" x14ac:dyDescent="0.35">
      <c r="A44" s="127"/>
      <c r="B44" s="127"/>
      <c r="C44" s="127"/>
    </row>
    <row r="45" spans="1:4" ht="28.5" customHeight="1" x14ac:dyDescent="0.35">
      <c r="A45" s="29" t="s">
        <v>28</v>
      </c>
      <c r="B45" s="25" t="s">
        <v>209</v>
      </c>
      <c r="C45" s="26" t="s">
        <v>217</v>
      </c>
    </row>
    <row r="46" spans="1:4" ht="21" customHeight="1" x14ac:dyDescent="0.35">
      <c r="A46" s="21" t="s">
        <v>29</v>
      </c>
      <c r="B46" s="18">
        <v>1700</v>
      </c>
      <c r="C46" s="89">
        <f>C66</f>
        <v>1648</v>
      </c>
      <c r="D46" s="14">
        <f>C46/B46</f>
        <v>0.96941176470588231</v>
      </c>
    </row>
    <row r="47" spans="1:4" ht="20.25" customHeight="1" x14ac:dyDescent="0.35">
      <c r="A47" s="21" t="s">
        <v>30</v>
      </c>
      <c r="B47" s="18">
        <v>1300</v>
      </c>
      <c r="C47" s="11">
        <f>C83</f>
        <v>2134</v>
      </c>
      <c r="D47" s="14">
        <f t="shared" ref="D47:D49" si="2">C47/B47</f>
        <v>1.6415384615384616</v>
      </c>
    </row>
    <row r="48" spans="1:4" ht="18.75" customHeight="1" x14ac:dyDescent="0.35">
      <c r="A48" s="21" t="s">
        <v>31</v>
      </c>
      <c r="B48" s="9">
        <v>72</v>
      </c>
      <c r="C48" s="11">
        <v>0</v>
      </c>
      <c r="D48" s="14">
        <f t="shared" si="2"/>
        <v>0</v>
      </c>
    </row>
    <row r="49" spans="1:4" ht="18.75" customHeight="1" x14ac:dyDescent="0.35">
      <c r="A49" s="21" t="s">
        <v>14</v>
      </c>
      <c r="B49" s="18">
        <f>SUM(B46:B48)</f>
        <v>3072</v>
      </c>
      <c r="C49" s="18">
        <f>SUM(C46:C48)</f>
        <v>3782</v>
      </c>
      <c r="D49" s="14">
        <f t="shared" si="2"/>
        <v>1.2311197916666667</v>
      </c>
    </row>
    <row r="50" spans="1:4" ht="18.75" customHeight="1" x14ac:dyDescent="0.35">
      <c r="A50" s="128"/>
      <c r="B50" s="128"/>
      <c r="C50" s="128"/>
    </row>
    <row r="51" spans="1:4" ht="32.25" customHeight="1" x14ac:dyDescent="0.35">
      <c r="A51" s="25" t="s">
        <v>32</v>
      </c>
      <c r="B51" s="25" t="s">
        <v>208</v>
      </c>
      <c r="C51" s="26" t="s">
        <v>217</v>
      </c>
    </row>
    <row r="52" spans="1:4" ht="18.75" customHeight="1" x14ac:dyDescent="0.35">
      <c r="A52" s="21" t="s">
        <v>33</v>
      </c>
      <c r="B52" s="129">
        <v>1700</v>
      </c>
      <c r="C52" s="5">
        <v>125</v>
      </c>
    </row>
    <row r="53" spans="1:4" ht="18.75" customHeight="1" x14ac:dyDescent="0.35">
      <c r="A53" s="21" t="s">
        <v>34</v>
      </c>
      <c r="B53" s="129"/>
      <c r="C53" s="5">
        <v>33</v>
      </c>
    </row>
    <row r="54" spans="1:4" ht="18.75" customHeight="1" x14ac:dyDescent="0.35">
      <c r="A54" s="21" t="s">
        <v>27</v>
      </c>
      <c r="B54" s="129"/>
      <c r="C54" s="5">
        <v>144</v>
      </c>
    </row>
    <row r="55" spans="1:4" ht="18.75" customHeight="1" x14ac:dyDescent="0.35">
      <c r="A55" s="21" t="s">
        <v>35</v>
      </c>
      <c r="B55" s="129"/>
      <c r="C55" s="5">
        <v>0</v>
      </c>
    </row>
    <row r="56" spans="1:4" ht="18.75" customHeight="1" x14ac:dyDescent="0.35">
      <c r="A56" s="21" t="s">
        <v>36</v>
      </c>
      <c r="B56" s="129"/>
      <c r="C56" s="5">
        <v>0</v>
      </c>
    </row>
    <row r="57" spans="1:4" ht="18.75" customHeight="1" x14ac:dyDescent="0.35">
      <c r="A57" s="21" t="s">
        <v>19</v>
      </c>
      <c r="B57" s="129"/>
      <c r="C57" s="5">
        <v>101</v>
      </c>
    </row>
    <row r="58" spans="1:4" ht="18.75" customHeight="1" x14ac:dyDescent="0.35">
      <c r="A58" s="21" t="s">
        <v>37</v>
      </c>
      <c r="B58" s="129"/>
      <c r="C58" s="5">
        <v>142</v>
      </c>
    </row>
    <row r="59" spans="1:4" ht="18.75" customHeight="1" x14ac:dyDescent="0.35">
      <c r="A59" s="21" t="s">
        <v>38</v>
      </c>
      <c r="B59" s="129"/>
      <c r="C59" s="5">
        <v>0</v>
      </c>
    </row>
    <row r="60" spans="1:4" ht="18.75" customHeight="1" x14ac:dyDescent="0.35">
      <c r="A60" s="21" t="s">
        <v>20</v>
      </c>
      <c r="B60" s="129"/>
      <c r="C60" s="5">
        <v>775</v>
      </c>
    </row>
    <row r="61" spans="1:4" ht="18.75" customHeight="1" x14ac:dyDescent="0.35">
      <c r="A61" s="21" t="s">
        <v>39</v>
      </c>
      <c r="B61" s="129"/>
      <c r="C61" s="5">
        <v>259</v>
      </c>
    </row>
    <row r="62" spans="1:4" ht="18.75" customHeight="1" x14ac:dyDescent="0.35">
      <c r="A62" s="21" t="s">
        <v>40</v>
      </c>
      <c r="B62" s="129"/>
      <c r="C62" s="5">
        <v>0</v>
      </c>
    </row>
    <row r="63" spans="1:4" ht="18.75" customHeight="1" x14ac:dyDescent="0.35">
      <c r="A63" s="21" t="s">
        <v>41</v>
      </c>
      <c r="B63" s="129"/>
      <c r="C63" s="5">
        <v>5</v>
      </c>
    </row>
    <row r="64" spans="1:4" ht="18.75" customHeight="1" x14ac:dyDescent="0.35">
      <c r="A64" s="21" t="s">
        <v>42</v>
      </c>
      <c r="B64" s="129"/>
      <c r="C64" s="5">
        <v>0</v>
      </c>
    </row>
    <row r="65" spans="1:4" ht="18.75" customHeight="1" x14ac:dyDescent="0.35">
      <c r="A65" s="21" t="s">
        <v>23</v>
      </c>
      <c r="B65" s="129"/>
      <c r="C65" s="5">
        <v>64</v>
      </c>
    </row>
    <row r="66" spans="1:4" ht="18.75" customHeight="1" x14ac:dyDescent="0.35">
      <c r="A66" s="6" t="s">
        <v>14</v>
      </c>
      <c r="B66" s="129"/>
      <c r="C66" s="83">
        <f>SUM(C52:C65)</f>
        <v>1648</v>
      </c>
      <c r="D66" s="81">
        <f>C66/B52</f>
        <v>0.96941176470588231</v>
      </c>
    </row>
    <row r="67" spans="1:4" ht="18.75" customHeight="1" x14ac:dyDescent="0.35">
      <c r="A67" s="6"/>
      <c r="B67" s="82"/>
      <c r="C67" s="5"/>
    </row>
    <row r="68" spans="1:4" ht="32.25" customHeight="1" x14ac:dyDescent="0.35">
      <c r="A68" s="25" t="s">
        <v>32</v>
      </c>
      <c r="B68" s="82" t="s">
        <v>228</v>
      </c>
      <c r="C68" s="26" t="s">
        <v>217</v>
      </c>
    </row>
    <row r="69" spans="1:4" x14ac:dyDescent="0.35">
      <c r="A69" s="106" t="s">
        <v>227</v>
      </c>
      <c r="B69" s="108"/>
      <c r="C69" s="107">
        <v>266</v>
      </c>
    </row>
    <row r="70" spans="1:4" x14ac:dyDescent="0.35">
      <c r="A70" s="106" t="s">
        <v>229</v>
      </c>
      <c r="B70" s="108"/>
      <c r="C70" s="109">
        <v>26</v>
      </c>
    </row>
    <row r="71" spans="1:4" ht="24" customHeight="1" x14ac:dyDescent="0.35">
      <c r="A71" s="6" t="s">
        <v>14</v>
      </c>
      <c r="B71" s="12"/>
      <c r="C71" s="123">
        <f>SUM(C69:C70)</f>
        <v>292</v>
      </c>
    </row>
    <row r="72" spans="1:4" ht="24" customHeight="1" x14ac:dyDescent="0.35">
      <c r="A72" s="6"/>
      <c r="B72" s="12"/>
      <c r="C72" s="123"/>
    </row>
    <row r="73" spans="1:4" ht="30.75" customHeight="1" x14ac:dyDescent="0.35">
      <c r="A73" s="25" t="s">
        <v>43</v>
      </c>
      <c r="B73" s="25" t="s">
        <v>209</v>
      </c>
      <c r="C73" s="26" t="s">
        <v>217</v>
      </c>
    </row>
    <row r="74" spans="1:4" ht="18.75" customHeight="1" x14ac:dyDescent="0.35">
      <c r="A74" s="21" t="s">
        <v>16</v>
      </c>
      <c r="B74" s="129">
        <v>1300</v>
      </c>
      <c r="C74" s="11">
        <v>15</v>
      </c>
    </row>
    <row r="75" spans="1:4" ht="18.75" customHeight="1" x14ac:dyDescent="0.35">
      <c r="A75" s="21" t="s">
        <v>44</v>
      </c>
      <c r="B75" s="129"/>
      <c r="C75" s="11">
        <v>1635</v>
      </c>
    </row>
    <row r="76" spans="1:4" ht="18.75" customHeight="1" x14ac:dyDescent="0.35">
      <c r="A76" s="21" t="s">
        <v>45</v>
      </c>
      <c r="B76" s="129"/>
      <c r="C76" s="11">
        <v>359</v>
      </c>
    </row>
    <row r="77" spans="1:4" ht="18.75" customHeight="1" x14ac:dyDescent="0.35">
      <c r="A77" s="21" t="s">
        <v>46</v>
      </c>
      <c r="B77" s="129"/>
      <c r="C77" s="11">
        <v>125</v>
      </c>
    </row>
    <row r="78" spans="1:4" ht="18.75" customHeight="1" x14ac:dyDescent="0.35">
      <c r="A78" s="21" t="s">
        <v>47</v>
      </c>
      <c r="B78" s="129"/>
      <c r="C78" s="11">
        <v>0</v>
      </c>
    </row>
    <row r="79" spans="1:4" ht="18.75" customHeight="1" x14ac:dyDescent="0.35">
      <c r="A79" s="21" t="s">
        <v>48</v>
      </c>
      <c r="B79" s="129"/>
      <c r="C79" s="11">
        <v>0</v>
      </c>
    </row>
    <row r="80" spans="1:4" ht="18.75" customHeight="1" x14ac:dyDescent="0.35">
      <c r="A80" s="21" t="s">
        <v>49</v>
      </c>
      <c r="B80" s="129"/>
      <c r="C80" s="11">
        <v>0</v>
      </c>
    </row>
    <row r="81" spans="1:4" ht="18.75" customHeight="1" x14ac:dyDescent="0.35">
      <c r="A81" s="21" t="s">
        <v>50</v>
      </c>
      <c r="B81" s="129"/>
      <c r="C81" s="11">
        <v>0</v>
      </c>
    </row>
    <row r="82" spans="1:4" ht="18.75" customHeight="1" x14ac:dyDescent="0.35">
      <c r="A82" s="21" t="s">
        <v>51</v>
      </c>
      <c r="B82" s="129"/>
      <c r="C82" s="11">
        <v>0</v>
      </c>
    </row>
    <row r="83" spans="1:4" ht="18.75" customHeight="1" x14ac:dyDescent="0.35">
      <c r="A83" s="6" t="s">
        <v>14</v>
      </c>
      <c r="B83" s="129"/>
      <c r="C83" s="9">
        <f>SUM(C74:C82)</f>
        <v>2134</v>
      </c>
      <c r="D83" s="81">
        <f>C83/B74</f>
        <v>1.6415384615384616</v>
      </c>
    </row>
    <row r="84" spans="1:4" ht="17.25" customHeight="1" x14ac:dyDescent="0.35">
      <c r="A84" s="127"/>
      <c r="B84" s="127"/>
      <c r="C84" s="127"/>
    </row>
    <row r="85" spans="1:4" ht="29.25" customHeight="1" x14ac:dyDescent="0.35">
      <c r="A85" s="29" t="s">
        <v>52</v>
      </c>
      <c r="B85" s="25" t="s">
        <v>208</v>
      </c>
      <c r="C85" s="26" t="s">
        <v>217</v>
      </c>
    </row>
    <row r="86" spans="1:4" ht="18" customHeight="1" x14ac:dyDescent="0.35">
      <c r="A86" s="21" t="s">
        <v>53</v>
      </c>
      <c r="B86" s="9">
        <v>25</v>
      </c>
      <c r="C86" s="11">
        <v>21</v>
      </c>
      <c r="D86" s="14">
        <f>C86/B86</f>
        <v>0.84</v>
      </c>
    </row>
    <row r="87" spans="1:4" ht="18" customHeight="1" x14ac:dyDescent="0.35">
      <c r="A87" s="21" t="s">
        <v>57</v>
      </c>
      <c r="B87" s="9">
        <v>50</v>
      </c>
      <c r="C87" s="11">
        <v>0</v>
      </c>
      <c r="D87" s="14">
        <f t="shared" ref="D87:D92" si="3">C87/B87</f>
        <v>0</v>
      </c>
    </row>
    <row r="88" spans="1:4" ht="17.25" customHeight="1" x14ac:dyDescent="0.35">
      <c r="A88" s="21" t="s">
        <v>210</v>
      </c>
      <c r="B88" s="9">
        <v>100</v>
      </c>
      <c r="C88" s="11">
        <v>0</v>
      </c>
      <c r="D88" s="14">
        <f t="shared" si="3"/>
        <v>0</v>
      </c>
    </row>
    <row r="89" spans="1:4" ht="18.75" customHeight="1" x14ac:dyDescent="0.35">
      <c r="A89" s="21" t="s">
        <v>54</v>
      </c>
      <c r="B89" s="9">
        <v>20</v>
      </c>
      <c r="C89" s="11">
        <v>85</v>
      </c>
      <c r="D89" s="14">
        <f>C89/B89</f>
        <v>4.25</v>
      </c>
    </row>
    <row r="90" spans="1:4" ht="18.75" customHeight="1" x14ac:dyDescent="0.35">
      <c r="A90" s="21" t="s">
        <v>55</v>
      </c>
      <c r="B90" s="9">
        <v>30</v>
      </c>
      <c r="C90" s="11">
        <v>56</v>
      </c>
      <c r="D90" s="14">
        <f t="shared" si="3"/>
        <v>1.8666666666666667</v>
      </c>
    </row>
    <row r="91" spans="1:4" ht="18.75" customHeight="1" x14ac:dyDescent="0.35">
      <c r="A91" s="21" t="s">
        <v>56</v>
      </c>
      <c r="B91" s="9">
        <v>45</v>
      </c>
      <c r="C91" s="11">
        <v>71</v>
      </c>
      <c r="D91" s="14">
        <f t="shared" si="3"/>
        <v>1.5777777777777777</v>
      </c>
    </row>
    <row r="92" spans="1:4" ht="18.75" customHeight="1" x14ac:dyDescent="0.35">
      <c r="A92" s="6" t="s">
        <v>14</v>
      </c>
      <c r="B92" s="9">
        <f>SUM(B86:B91)</f>
        <v>270</v>
      </c>
      <c r="C92" s="9">
        <f>SUM(C86:C91)</f>
        <v>233</v>
      </c>
      <c r="D92" s="14">
        <f t="shared" si="3"/>
        <v>0.86296296296296293</v>
      </c>
    </row>
    <row r="93" spans="1:4" ht="17.25" customHeight="1" x14ac:dyDescent="0.35">
      <c r="A93" s="128"/>
      <c r="B93" s="128"/>
      <c r="C93" s="128"/>
    </row>
    <row r="94" spans="1:4" ht="27.75" customHeight="1" x14ac:dyDescent="0.35">
      <c r="A94" s="29" t="s">
        <v>58</v>
      </c>
      <c r="B94" s="25" t="s">
        <v>208</v>
      </c>
      <c r="C94" s="26" t="s">
        <v>217</v>
      </c>
    </row>
    <row r="95" spans="1:4" ht="18.75" customHeight="1" x14ac:dyDescent="0.35">
      <c r="A95" s="21" t="s">
        <v>59</v>
      </c>
      <c r="B95" s="124" t="s">
        <v>25</v>
      </c>
      <c r="C95" s="13">
        <v>21556</v>
      </c>
    </row>
    <row r="96" spans="1:4" ht="18.75" customHeight="1" x14ac:dyDescent="0.35">
      <c r="A96" s="21" t="s">
        <v>60</v>
      </c>
      <c r="B96" s="124"/>
      <c r="C96" s="11">
        <v>103</v>
      </c>
    </row>
    <row r="97" spans="1:3" ht="18.75" customHeight="1" x14ac:dyDescent="0.35">
      <c r="A97" s="21" t="s">
        <v>230</v>
      </c>
      <c r="B97" s="124"/>
      <c r="C97" s="11">
        <v>39</v>
      </c>
    </row>
    <row r="98" spans="1:3" ht="18.75" customHeight="1" x14ac:dyDescent="0.35">
      <c r="A98" s="21" t="s">
        <v>61</v>
      </c>
      <c r="B98" s="124"/>
      <c r="C98" s="11">
        <v>3</v>
      </c>
    </row>
    <row r="99" spans="1:3" ht="18.75" customHeight="1" x14ac:dyDescent="0.35">
      <c r="A99" s="21" t="s">
        <v>62</v>
      </c>
      <c r="B99" s="124"/>
      <c r="C99" s="11">
        <v>245</v>
      </c>
    </row>
    <row r="100" spans="1:3" ht="18.75" customHeight="1" x14ac:dyDescent="0.35">
      <c r="A100" s="21" t="s">
        <v>63</v>
      </c>
      <c r="B100" s="124"/>
      <c r="C100" s="13">
        <v>2368</v>
      </c>
    </row>
    <row r="101" spans="1:3" ht="18.75" customHeight="1" x14ac:dyDescent="0.35">
      <c r="A101" s="21" t="s">
        <v>64</v>
      </c>
      <c r="B101" s="124"/>
      <c r="C101" s="13">
        <v>1776</v>
      </c>
    </row>
    <row r="102" spans="1:3" ht="18.75" customHeight="1" x14ac:dyDescent="0.35">
      <c r="A102" s="21" t="s">
        <v>65</v>
      </c>
      <c r="B102" s="124"/>
      <c r="C102" s="11">
        <v>361</v>
      </c>
    </row>
    <row r="103" spans="1:3" ht="18.75" customHeight="1" x14ac:dyDescent="0.35">
      <c r="A103" s="21" t="s">
        <v>66</v>
      </c>
      <c r="B103" s="124"/>
      <c r="C103" s="13">
        <v>3096</v>
      </c>
    </row>
    <row r="104" spans="1:3" ht="18.75" customHeight="1" x14ac:dyDescent="0.35">
      <c r="A104" s="21" t="s">
        <v>67</v>
      </c>
      <c r="B104" s="124"/>
      <c r="C104" s="11">
        <v>87</v>
      </c>
    </row>
    <row r="105" spans="1:3" ht="18.75" customHeight="1" x14ac:dyDescent="0.35">
      <c r="A105" s="21" t="s">
        <v>49</v>
      </c>
      <c r="B105" s="124"/>
      <c r="C105" s="13">
        <v>1122</v>
      </c>
    </row>
    <row r="106" spans="1:3" ht="18.75" customHeight="1" x14ac:dyDescent="0.35">
      <c r="A106" s="21" t="s">
        <v>68</v>
      </c>
      <c r="B106" s="124"/>
      <c r="C106" s="11">
        <v>142</v>
      </c>
    </row>
    <row r="107" spans="1:3" ht="18.75" customHeight="1" x14ac:dyDescent="0.35">
      <c r="A107" s="9" t="s">
        <v>14</v>
      </c>
      <c r="B107" s="124"/>
      <c r="C107" s="18">
        <f>SUM(C95:C106)</f>
        <v>30898</v>
      </c>
    </row>
    <row r="108" spans="1:3" ht="16.5" customHeight="1" x14ac:dyDescent="0.35">
      <c r="A108" s="127"/>
      <c r="B108" s="127"/>
      <c r="C108" s="127"/>
    </row>
    <row r="109" spans="1:3" ht="29.25" customHeight="1" x14ac:dyDescent="0.35">
      <c r="A109" s="25" t="s">
        <v>69</v>
      </c>
      <c r="B109" s="25" t="s">
        <v>209</v>
      </c>
      <c r="C109" s="26" t="s">
        <v>217</v>
      </c>
    </row>
    <row r="110" spans="1:3" ht="18.75" customHeight="1" x14ac:dyDescent="0.35">
      <c r="A110" s="21" t="s">
        <v>16</v>
      </c>
      <c r="B110" s="124" t="s">
        <v>25</v>
      </c>
      <c r="C110" s="11" t="s">
        <v>237</v>
      </c>
    </row>
    <row r="111" spans="1:3" ht="18" customHeight="1" x14ac:dyDescent="0.35">
      <c r="A111" s="21" t="s">
        <v>27</v>
      </c>
      <c r="B111" s="124"/>
      <c r="C111" s="11">
        <v>12</v>
      </c>
    </row>
    <row r="112" spans="1:3" ht="18" customHeight="1" x14ac:dyDescent="0.35">
      <c r="A112" s="21" t="s">
        <v>207</v>
      </c>
      <c r="B112" s="124"/>
      <c r="C112" s="13">
        <v>3628</v>
      </c>
    </row>
    <row r="113" spans="1:3" ht="18.75" customHeight="1" x14ac:dyDescent="0.35">
      <c r="A113" s="21" t="s">
        <v>70</v>
      </c>
      <c r="B113" s="124"/>
      <c r="C113" s="11">
        <v>7</v>
      </c>
    </row>
    <row r="114" spans="1:3" ht="18.75" customHeight="1" x14ac:dyDescent="0.35">
      <c r="A114" s="21" t="s">
        <v>39</v>
      </c>
      <c r="B114" s="124"/>
      <c r="C114" s="11">
        <v>1</v>
      </c>
    </row>
    <row r="115" spans="1:3" ht="18.75" customHeight="1" x14ac:dyDescent="0.35">
      <c r="A115" s="21" t="s">
        <v>19</v>
      </c>
      <c r="B115" s="124"/>
      <c r="C115" s="11">
        <v>8</v>
      </c>
    </row>
    <row r="116" spans="1:3" ht="18.75" customHeight="1" x14ac:dyDescent="0.35">
      <c r="A116" s="21" t="s">
        <v>236</v>
      </c>
      <c r="B116" s="124"/>
      <c r="C116" s="11">
        <v>67</v>
      </c>
    </row>
    <row r="117" spans="1:3" ht="19.5" customHeight="1" x14ac:dyDescent="0.35">
      <c r="A117" s="21" t="s">
        <v>71</v>
      </c>
      <c r="B117" s="124"/>
      <c r="C117" s="11">
        <v>545</v>
      </c>
    </row>
    <row r="118" spans="1:3" ht="19.5" customHeight="1" x14ac:dyDescent="0.35">
      <c r="A118" s="21" t="s">
        <v>72</v>
      </c>
      <c r="B118" s="124"/>
      <c r="C118" s="13">
        <v>1562</v>
      </c>
    </row>
    <row r="119" spans="1:3" ht="19.5" customHeight="1" x14ac:dyDescent="0.35">
      <c r="A119" s="21" t="s">
        <v>23</v>
      </c>
      <c r="B119" s="124"/>
      <c r="C119" s="11" t="s">
        <v>237</v>
      </c>
    </row>
    <row r="120" spans="1:3" ht="19.5" customHeight="1" x14ac:dyDescent="0.35">
      <c r="A120" s="21" t="s">
        <v>231</v>
      </c>
      <c r="B120" s="124"/>
      <c r="C120" s="11">
        <v>20</v>
      </c>
    </row>
    <row r="121" spans="1:3" ht="19.5" customHeight="1" x14ac:dyDescent="0.35">
      <c r="A121" s="21" t="s">
        <v>14</v>
      </c>
      <c r="B121" s="124"/>
      <c r="C121" s="9">
        <f>SUM(C110:C120)</f>
        <v>5850</v>
      </c>
    </row>
    <row r="122" spans="1:3" ht="17.25" customHeight="1" x14ac:dyDescent="0.35">
      <c r="A122" s="127"/>
      <c r="B122" s="127"/>
      <c r="C122" s="127"/>
    </row>
    <row r="123" spans="1:3" ht="29.25" customHeight="1" x14ac:dyDescent="0.35">
      <c r="A123" s="26" t="s">
        <v>73</v>
      </c>
      <c r="B123" s="25" t="s">
        <v>208</v>
      </c>
      <c r="C123" s="26" t="s">
        <v>217</v>
      </c>
    </row>
    <row r="124" spans="1:3" ht="21.75" customHeight="1" x14ac:dyDescent="0.35">
      <c r="A124" s="30" t="s">
        <v>74</v>
      </c>
      <c r="B124" s="9" t="s">
        <v>75</v>
      </c>
      <c r="C124" s="11" t="s">
        <v>211</v>
      </c>
    </row>
    <row r="125" spans="1:3" ht="18.75" customHeight="1" x14ac:dyDescent="0.35">
      <c r="A125" s="127"/>
      <c r="B125" s="127"/>
      <c r="C125" s="127"/>
    </row>
    <row r="126" spans="1:3" ht="27" customHeight="1" x14ac:dyDescent="0.35">
      <c r="A126" s="26" t="s">
        <v>76</v>
      </c>
      <c r="B126" s="25" t="s">
        <v>209</v>
      </c>
      <c r="C126" s="26" t="s">
        <v>217</v>
      </c>
    </row>
    <row r="127" spans="1:3" ht="20.25" customHeight="1" x14ac:dyDescent="0.35">
      <c r="A127" s="54" t="s">
        <v>77</v>
      </c>
      <c r="B127" s="124" t="s">
        <v>75</v>
      </c>
      <c r="C127" s="11">
        <v>1</v>
      </c>
    </row>
    <row r="128" spans="1:3" ht="19.5" customHeight="1" x14ac:dyDescent="0.35">
      <c r="A128" s="54" t="s">
        <v>78</v>
      </c>
      <c r="B128" s="124"/>
      <c r="C128" s="13">
        <v>3398</v>
      </c>
    </row>
    <row r="129" spans="1:4" ht="17.25" customHeight="1" x14ac:dyDescent="0.35">
      <c r="A129" s="111" t="s">
        <v>14</v>
      </c>
      <c r="B129" s="124"/>
      <c r="C129" s="11">
        <f>SUM(C127:C128)</f>
        <v>3399</v>
      </c>
    </row>
    <row r="130" spans="1:4" x14ac:dyDescent="0.35">
      <c r="A130" s="127"/>
      <c r="B130" s="127"/>
      <c r="C130" s="127"/>
    </row>
    <row r="131" spans="1:4" ht="29.25" customHeight="1" x14ac:dyDescent="0.35">
      <c r="A131" s="25" t="s">
        <v>79</v>
      </c>
      <c r="B131" s="25" t="s">
        <v>209</v>
      </c>
      <c r="C131" s="26" t="s">
        <v>217</v>
      </c>
    </row>
    <row r="132" spans="1:4" ht="19.5" customHeight="1" x14ac:dyDescent="0.35">
      <c r="A132" s="112" t="s">
        <v>80</v>
      </c>
      <c r="B132" s="124" t="s">
        <v>25</v>
      </c>
      <c r="C132" s="11">
        <v>18</v>
      </c>
      <c r="D132" s="81">
        <f>C132/C138</f>
        <v>3.2426589803638984E-3</v>
      </c>
    </row>
    <row r="133" spans="1:4" ht="18" customHeight="1" x14ac:dyDescent="0.35">
      <c r="A133" s="113" t="s">
        <v>81</v>
      </c>
      <c r="B133" s="124"/>
      <c r="C133" s="11">
        <v>337</v>
      </c>
      <c r="D133" s="14">
        <f>C133/C138</f>
        <v>6.070978202125743E-2</v>
      </c>
    </row>
    <row r="134" spans="1:4" ht="18" customHeight="1" x14ac:dyDescent="0.35">
      <c r="A134" s="114" t="s">
        <v>82</v>
      </c>
      <c r="B134" s="124"/>
      <c r="C134" s="11">
        <v>1720</v>
      </c>
      <c r="D134" s="14">
        <f>C134/C138</f>
        <v>0.30985408034588363</v>
      </c>
    </row>
    <row r="135" spans="1:4" ht="18" customHeight="1" x14ac:dyDescent="0.35">
      <c r="A135" s="115" t="s">
        <v>83</v>
      </c>
      <c r="B135" s="124"/>
      <c r="C135" s="13">
        <v>2731</v>
      </c>
      <c r="D135" s="14">
        <f>C135/C138</f>
        <v>0.49198342640965592</v>
      </c>
    </row>
    <row r="136" spans="1:4" ht="18" customHeight="1" x14ac:dyDescent="0.35">
      <c r="A136" s="116" t="s">
        <v>84</v>
      </c>
      <c r="B136" s="124"/>
      <c r="C136" s="11">
        <v>745</v>
      </c>
      <c r="D136" s="14">
        <f>C136/C138</f>
        <v>0.13421005224283913</v>
      </c>
    </row>
    <row r="137" spans="1:4" ht="16.5" customHeight="1" x14ac:dyDescent="0.35">
      <c r="A137" s="55" t="s">
        <v>85</v>
      </c>
      <c r="B137" s="124"/>
      <c r="C137" s="11">
        <v>0</v>
      </c>
      <c r="D137" s="14">
        <f>C137/C138</f>
        <v>0</v>
      </c>
    </row>
    <row r="138" spans="1:4" ht="18" customHeight="1" x14ac:dyDescent="0.35">
      <c r="A138" s="117" t="s">
        <v>14</v>
      </c>
      <c r="B138" s="124"/>
      <c r="C138" s="18">
        <f>SUM(C132:C137)</f>
        <v>5551</v>
      </c>
      <c r="D138" s="14">
        <f>SUM(D132:D137)</f>
        <v>1</v>
      </c>
    </row>
    <row r="139" spans="1:4" x14ac:dyDescent="0.35">
      <c r="A139" s="12"/>
      <c r="B139" s="12"/>
      <c r="C139" s="12"/>
    </row>
    <row r="140" spans="1:4" ht="28.5" customHeight="1" x14ac:dyDescent="0.35">
      <c r="A140" s="77" t="s">
        <v>219</v>
      </c>
      <c r="B140" s="80" t="s">
        <v>209</v>
      </c>
      <c r="C140" s="76" t="s">
        <v>217</v>
      </c>
    </row>
    <row r="141" spans="1:4" ht="31" x14ac:dyDescent="0.35">
      <c r="A141" s="78" t="s">
        <v>220</v>
      </c>
      <c r="B141" s="118" t="s">
        <v>221</v>
      </c>
      <c r="C141" s="84">
        <v>1</v>
      </c>
    </row>
    <row r="142" spans="1:4" ht="28.5" x14ac:dyDescent="0.35">
      <c r="A142" s="78" t="s">
        <v>222</v>
      </c>
      <c r="B142" s="119" t="s">
        <v>223</v>
      </c>
      <c r="C142" s="84">
        <v>1</v>
      </c>
    </row>
    <row r="143" spans="1:4" ht="56.5" x14ac:dyDescent="0.35">
      <c r="A143" s="79" t="s">
        <v>224</v>
      </c>
      <c r="B143" s="119" t="s">
        <v>225</v>
      </c>
      <c r="C143" s="84">
        <v>1</v>
      </c>
    </row>
  </sheetData>
  <sortState xmlns:xlrd2="http://schemas.microsoft.com/office/spreadsheetml/2017/richdata2" ref="A86:C91">
    <sortCondition ref="A86:A91"/>
  </sortState>
  <mergeCells count="25">
    <mergeCell ref="A1:C1"/>
    <mergeCell ref="A2:C2"/>
    <mergeCell ref="A3:C3"/>
    <mergeCell ref="A32:C32"/>
    <mergeCell ref="A21:C21"/>
    <mergeCell ref="A12:C12"/>
    <mergeCell ref="A15:C15"/>
    <mergeCell ref="B132:B138"/>
    <mergeCell ref="B127:B129"/>
    <mergeCell ref="A130:C130"/>
    <mergeCell ref="A122:C122"/>
    <mergeCell ref="A125:C125"/>
    <mergeCell ref="B110:B121"/>
    <mergeCell ref="B23:B31"/>
    <mergeCell ref="A33:A34"/>
    <mergeCell ref="A44:C44"/>
    <mergeCell ref="A50:C50"/>
    <mergeCell ref="A35:C35"/>
    <mergeCell ref="B52:B66"/>
    <mergeCell ref="B37:B43"/>
    <mergeCell ref="A84:C84"/>
    <mergeCell ref="A93:C93"/>
    <mergeCell ref="A108:C108"/>
    <mergeCell ref="B95:B107"/>
    <mergeCell ref="B74:B83"/>
  </mergeCells>
  <printOptions gridLines="1"/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BAFC-2B3D-4E66-B566-24C00AB53EEA}">
  <sheetPr>
    <pageSetUpPr fitToPage="1"/>
  </sheetPr>
  <dimension ref="A1:H57"/>
  <sheetViews>
    <sheetView showWhiteSpace="0" zoomScale="82" zoomScaleNormal="82" zoomScalePageLayoutView="70" workbookViewId="0">
      <selection activeCell="I21" sqref="I1:I1048576"/>
    </sheetView>
  </sheetViews>
  <sheetFormatPr defaultColWidth="8.7265625" defaultRowHeight="15.5" x14ac:dyDescent="0.35"/>
  <cols>
    <col min="1" max="1" width="64.81640625" style="7" customWidth="1"/>
    <col min="2" max="2" width="18.453125" style="7" customWidth="1"/>
    <col min="3" max="3" width="19.26953125" style="86" bestFit="1" customWidth="1"/>
    <col min="4" max="4" width="18.54296875" style="59" hidden="1" customWidth="1"/>
    <col min="5" max="5" width="69.453125" style="7" hidden="1" customWidth="1"/>
    <col min="6" max="9" width="0" style="7" hidden="1" customWidth="1"/>
    <col min="10" max="16384" width="8.7265625" style="7"/>
  </cols>
  <sheetData>
    <row r="1" spans="1:8" ht="49.5" customHeight="1" thickBot="1" x14ac:dyDescent="0.4">
      <c r="A1" s="136"/>
      <c r="B1" s="136"/>
      <c r="C1" s="136"/>
      <c r="D1" s="136"/>
    </row>
    <row r="2" spans="1:8" ht="20.25" customHeight="1" thickBot="1" x14ac:dyDescent="0.4">
      <c r="A2" s="143" t="s">
        <v>7</v>
      </c>
      <c r="B2" s="144"/>
      <c r="C2" s="144"/>
      <c r="D2" s="67"/>
      <c r="E2" s="141" t="s">
        <v>235</v>
      </c>
      <c r="F2" s="142"/>
      <c r="G2" s="142"/>
      <c r="H2" s="142"/>
    </row>
    <row r="3" spans="1:8" ht="31.5" thickBot="1" x14ac:dyDescent="0.4">
      <c r="A3" s="145" t="s">
        <v>242</v>
      </c>
      <c r="B3" s="146"/>
      <c r="C3" s="146"/>
      <c r="D3" s="68" t="s">
        <v>216</v>
      </c>
      <c r="E3" s="141"/>
      <c r="F3" s="142"/>
      <c r="G3" s="142"/>
      <c r="H3" s="142"/>
    </row>
    <row r="4" spans="1:8" ht="27.75" customHeight="1" x14ac:dyDescent="0.35">
      <c r="A4" s="35" t="s">
        <v>89</v>
      </c>
      <c r="B4" s="36" t="s">
        <v>212</v>
      </c>
      <c r="C4" s="60" t="s">
        <v>217</v>
      </c>
      <c r="D4" s="69" t="s">
        <v>213</v>
      </c>
      <c r="E4" s="141"/>
      <c r="F4" s="142"/>
      <c r="G4" s="142"/>
      <c r="H4" s="142"/>
    </row>
    <row r="5" spans="1:8" ht="18" customHeight="1" x14ac:dyDescent="0.35">
      <c r="A5" s="37" t="s">
        <v>90</v>
      </c>
      <c r="B5" s="140" t="s">
        <v>91</v>
      </c>
      <c r="C5" s="61">
        <f>C6/C7</f>
        <v>0.88189182126992427</v>
      </c>
      <c r="D5" s="70">
        <f>(C5*100)/85</f>
        <v>1.0375197897293227</v>
      </c>
    </row>
    <row r="6" spans="1:8" ht="18" customHeight="1" x14ac:dyDescent="0.35">
      <c r="A6" s="32" t="s">
        <v>92</v>
      </c>
      <c r="B6" s="140"/>
      <c r="C6" s="62">
        <v>3375</v>
      </c>
      <c r="D6" s="69"/>
    </row>
    <row r="7" spans="1:8" ht="17.25" customHeight="1" x14ac:dyDescent="0.35">
      <c r="A7" s="32" t="s">
        <v>93</v>
      </c>
      <c r="B7" s="140"/>
      <c r="C7" s="62">
        <v>3827</v>
      </c>
      <c r="D7" s="69"/>
      <c r="E7" s="104" t="s">
        <v>240</v>
      </c>
    </row>
    <row r="8" spans="1:8" ht="31" x14ac:dyDescent="0.35">
      <c r="A8" s="38" t="s">
        <v>94</v>
      </c>
      <c r="B8" s="137" t="s">
        <v>95</v>
      </c>
      <c r="C8" s="63">
        <f>C9/C10</f>
        <v>4.5980926430517712</v>
      </c>
      <c r="D8" s="70">
        <f>(1-((C8-5)/5))</f>
        <v>1.0803814713896458</v>
      </c>
    </row>
    <row r="9" spans="1:8" x14ac:dyDescent="0.35">
      <c r="A9" s="7" t="s">
        <v>96</v>
      </c>
      <c r="B9" s="138"/>
      <c r="C9" s="62">
        <v>3375</v>
      </c>
      <c r="D9" s="69"/>
      <c r="F9"/>
    </row>
    <row r="10" spans="1:8" ht="16" x14ac:dyDescent="0.4">
      <c r="A10" s="32" t="s">
        <v>97</v>
      </c>
      <c r="B10" s="139"/>
      <c r="C10" s="64">
        <f>'Indicadores de Produção'!C11</f>
        <v>734</v>
      </c>
      <c r="D10" s="69"/>
      <c r="F10" s="74"/>
      <c r="H10" s="74"/>
    </row>
    <row r="11" spans="1:8" x14ac:dyDescent="0.35">
      <c r="A11" s="39" t="s">
        <v>98</v>
      </c>
      <c r="B11" s="147" t="s">
        <v>99</v>
      </c>
      <c r="C11" s="85">
        <f>(1-C12)*C13/C12</f>
        <v>0.61580381471389622</v>
      </c>
      <c r="D11" s="70">
        <f>(1-((C11-24)/24))</f>
        <v>1.9743415077202542</v>
      </c>
    </row>
    <row r="12" spans="1:8" x14ac:dyDescent="0.35">
      <c r="A12" s="33" t="s">
        <v>100</v>
      </c>
      <c r="B12" s="148"/>
      <c r="C12" s="90">
        <f>C5</f>
        <v>0.88189182126992427</v>
      </c>
      <c r="D12" s="71"/>
    </row>
    <row r="13" spans="1:8" x14ac:dyDescent="0.35">
      <c r="A13" s="33" t="s">
        <v>101</v>
      </c>
      <c r="B13" s="149"/>
      <c r="C13" s="75">
        <f>C8</f>
        <v>4.5980926430517712</v>
      </c>
      <c r="D13" s="71"/>
    </row>
    <row r="14" spans="1:8" x14ac:dyDescent="0.35">
      <c r="A14" s="39" t="s">
        <v>102</v>
      </c>
      <c r="B14" s="137" t="s">
        <v>103</v>
      </c>
      <c r="C14" s="65">
        <f>C15/C16</f>
        <v>3.0303030303030304E-2</v>
      </c>
      <c r="D14" s="70">
        <f>(1-(((C14*100)-5)/5))</f>
        <v>1.393939393939394</v>
      </c>
    </row>
    <row r="15" spans="1:8" x14ac:dyDescent="0.35">
      <c r="A15" s="7" t="s">
        <v>104</v>
      </c>
      <c r="B15" s="138"/>
      <c r="C15" s="93">
        <v>2</v>
      </c>
      <c r="D15" s="71"/>
    </row>
    <row r="16" spans="1:8" x14ac:dyDescent="0.35">
      <c r="A16" s="32" t="s">
        <v>105</v>
      </c>
      <c r="B16" s="139"/>
      <c r="C16" s="93">
        <v>66</v>
      </c>
      <c r="D16" s="71"/>
    </row>
    <row r="17" spans="1:4" x14ac:dyDescent="0.35">
      <c r="A17" s="40" t="s">
        <v>106</v>
      </c>
      <c r="B17" s="137" t="s">
        <v>107</v>
      </c>
      <c r="C17" s="65">
        <f>C18/C19</f>
        <v>9.0346534653465344E-2</v>
      </c>
      <c r="D17" s="70">
        <f>(1-(((C17*100)-20)/20))</f>
        <v>1.5482673267326732</v>
      </c>
    </row>
    <row r="18" spans="1:4" ht="31" x14ac:dyDescent="0.35">
      <c r="A18" s="34" t="s">
        <v>108</v>
      </c>
      <c r="B18" s="138"/>
      <c r="C18" s="93">
        <v>73</v>
      </c>
      <c r="D18" s="71"/>
    </row>
    <row r="19" spans="1:4" x14ac:dyDescent="0.35">
      <c r="A19" s="12" t="s">
        <v>109</v>
      </c>
      <c r="B19" s="139"/>
      <c r="C19" s="93">
        <v>808</v>
      </c>
      <c r="D19" s="71"/>
    </row>
    <row r="20" spans="1:4" x14ac:dyDescent="0.35">
      <c r="A20" s="41" t="s">
        <v>110</v>
      </c>
      <c r="B20" s="137" t="s">
        <v>111</v>
      </c>
      <c r="C20" s="65">
        <f>C21/C22</f>
        <v>6.3973063973063973E-2</v>
      </c>
      <c r="D20" s="70">
        <f>(1-((C20-7)/7))</f>
        <v>1.9908609908609909</v>
      </c>
    </row>
    <row r="21" spans="1:4" x14ac:dyDescent="0.35">
      <c r="A21" s="12" t="s">
        <v>112</v>
      </c>
      <c r="B21" s="138"/>
      <c r="C21" s="93">
        <v>19</v>
      </c>
      <c r="D21" s="71"/>
    </row>
    <row r="22" spans="1:4" x14ac:dyDescent="0.35">
      <c r="A22" s="12" t="s">
        <v>113</v>
      </c>
      <c r="B22" s="139"/>
      <c r="C22" s="93">
        <v>297</v>
      </c>
      <c r="D22" s="71"/>
    </row>
    <row r="23" spans="1:4" ht="31" x14ac:dyDescent="0.35">
      <c r="A23" s="42" t="s">
        <v>114</v>
      </c>
      <c r="B23" s="137" t="s">
        <v>115</v>
      </c>
      <c r="C23" s="65">
        <f>C24/C25</f>
        <v>4.3589743589743588E-2</v>
      </c>
      <c r="D23" s="70">
        <f>(1-(((C23*100)-5)/5))</f>
        <v>1.1282051282051282</v>
      </c>
    </row>
    <row r="24" spans="1:4" ht="18.649999999999999" customHeight="1" x14ac:dyDescent="0.35">
      <c r="A24" s="12" t="s">
        <v>116</v>
      </c>
      <c r="B24" s="138"/>
      <c r="C24" s="93">
        <v>17</v>
      </c>
      <c r="D24" s="71"/>
    </row>
    <row r="25" spans="1:4" ht="17.5" customHeight="1" x14ac:dyDescent="0.35">
      <c r="A25" s="12" t="s">
        <v>117</v>
      </c>
      <c r="B25" s="139"/>
      <c r="C25" s="93">
        <v>390</v>
      </c>
      <c r="D25" s="71"/>
    </row>
    <row r="26" spans="1:4" ht="46.5" x14ac:dyDescent="0.35">
      <c r="A26" s="42" t="s">
        <v>118</v>
      </c>
      <c r="B26" s="137" t="s">
        <v>119</v>
      </c>
      <c r="C26" s="65">
        <f>C27/C28</f>
        <v>1.2987012987012988E-2</v>
      </c>
      <c r="D26" s="70">
        <f>(1-(((C26*100)-50)/50))</f>
        <v>1.9740259740259742</v>
      </c>
    </row>
    <row r="27" spans="1:4" x14ac:dyDescent="0.35">
      <c r="A27" s="34" t="s">
        <v>120</v>
      </c>
      <c r="B27" s="138"/>
      <c r="C27" s="93">
        <v>3</v>
      </c>
      <c r="D27" s="71"/>
    </row>
    <row r="28" spans="1:4" ht="31" x14ac:dyDescent="0.35">
      <c r="A28" s="34" t="s">
        <v>121</v>
      </c>
      <c r="B28" s="139"/>
      <c r="C28" s="93">
        <v>231</v>
      </c>
      <c r="D28" s="71"/>
    </row>
    <row r="29" spans="1:4" ht="46.5" x14ac:dyDescent="0.35">
      <c r="A29" s="42" t="s">
        <v>232</v>
      </c>
      <c r="B29" s="137" t="s">
        <v>122</v>
      </c>
      <c r="C29" s="66">
        <f>C30/C31</f>
        <v>0</v>
      </c>
      <c r="D29" s="70">
        <f>(1-(((C29*100)-25)/25))</f>
        <v>2</v>
      </c>
    </row>
    <row r="30" spans="1:4" x14ac:dyDescent="0.35">
      <c r="A30" s="34" t="s">
        <v>120</v>
      </c>
      <c r="B30" s="138"/>
      <c r="C30" s="93">
        <v>0</v>
      </c>
      <c r="D30" s="71"/>
    </row>
    <row r="31" spans="1:4" ht="45.75" customHeight="1" x14ac:dyDescent="0.35">
      <c r="A31" s="34" t="s">
        <v>121</v>
      </c>
      <c r="B31" s="139"/>
      <c r="C31" s="93">
        <v>231</v>
      </c>
      <c r="D31" s="71"/>
    </row>
    <row r="32" spans="1:4" ht="17.25" customHeight="1" x14ac:dyDescent="0.35">
      <c r="A32" s="40" t="s">
        <v>123</v>
      </c>
      <c r="B32" s="137" t="s">
        <v>86</v>
      </c>
      <c r="C32" s="65">
        <f>C33/C34</f>
        <v>0.61764705882352944</v>
      </c>
      <c r="D32" s="70">
        <f>(1-(((C32*100)-15)/15))</f>
        <v>-2.1176470588235294</v>
      </c>
    </row>
    <row r="33" spans="1:4" ht="19.5" customHeight="1" x14ac:dyDescent="0.35">
      <c r="A33" s="12" t="s">
        <v>87</v>
      </c>
      <c r="B33" s="138"/>
      <c r="C33" s="93">
        <v>42</v>
      </c>
      <c r="D33" s="71"/>
    </row>
    <row r="34" spans="1:4" ht="17.25" customHeight="1" x14ac:dyDescent="0.35">
      <c r="A34" s="12" t="s">
        <v>88</v>
      </c>
      <c r="B34" s="139"/>
      <c r="C34" s="93">
        <v>68</v>
      </c>
      <c r="D34" s="71"/>
    </row>
    <row r="35" spans="1:4" ht="31" x14ac:dyDescent="0.35">
      <c r="A35" s="42" t="s">
        <v>124</v>
      </c>
      <c r="B35" s="151">
        <v>1</v>
      </c>
      <c r="C35" s="66">
        <f>C36/C37</f>
        <v>1</v>
      </c>
      <c r="D35" s="70">
        <f>(1-(((C35*100)-100)/100))</f>
        <v>1</v>
      </c>
    </row>
    <row r="36" spans="1:4" ht="31" x14ac:dyDescent="0.35">
      <c r="A36" s="34" t="s">
        <v>125</v>
      </c>
      <c r="B36" s="152"/>
      <c r="C36" s="93">
        <v>42</v>
      </c>
      <c r="D36" s="69"/>
    </row>
    <row r="37" spans="1:4" x14ac:dyDescent="0.35">
      <c r="A37" s="12" t="s">
        <v>126</v>
      </c>
      <c r="B37" s="153"/>
      <c r="C37" s="93">
        <v>42</v>
      </c>
      <c r="D37" s="69"/>
    </row>
    <row r="38" spans="1:4" ht="31" x14ac:dyDescent="0.35">
      <c r="A38" s="42" t="s">
        <v>127</v>
      </c>
      <c r="B38" s="137" t="s">
        <v>128</v>
      </c>
      <c r="C38" s="65">
        <f>C39/C40</f>
        <v>1</v>
      </c>
      <c r="D38" s="70">
        <f>(C38*100)/70</f>
        <v>1.4285714285714286</v>
      </c>
    </row>
    <row r="39" spans="1:4" ht="18.649999999999999" customHeight="1" x14ac:dyDescent="0.35">
      <c r="A39" s="12" t="s">
        <v>129</v>
      </c>
      <c r="B39" s="138"/>
      <c r="C39" s="94">
        <v>3662</v>
      </c>
      <c r="D39" s="69"/>
    </row>
    <row r="40" spans="1:4" ht="19" customHeight="1" x14ac:dyDescent="0.35">
      <c r="A40" s="12" t="s">
        <v>130</v>
      </c>
      <c r="B40" s="139"/>
      <c r="C40" s="94">
        <v>3662</v>
      </c>
      <c r="D40" s="71"/>
    </row>
    <row r="41" spans="1:4" ht="48.75" customHeight="1" x14ac:dyDescent="0.35">
      <c r="A41" s="42" t="s">
        <v>131</v>
      </c>
      <c r="B41" s="137" t="s">
        <v>132</v>
      </c>
      <c r="C41" s="65">
        <f>C42/C43</f>
        <v>0.998</v>
      </c>
      <c r="D41" s="70">
        <f>(C41*100)/80</f>
        <v>1.2475000000000001</v>
      </c>
    </row>
    <row r="42" spans="1:4" x14ac:dyDescent="0.35">
      <c r="A42" s="34" t="s">
        <v>133</v>
      </c>
      <c r="B42" s="138"/>
      <c r="C42" s="93">
        <v>499</v>
      </c>
      <c r="D42" s="71"/>
    </row>
    <row r="43" spans="1:4" x14ac:dyDescent="0.35">
      <c r="A43" s="12" t="s">
        <v>134</v>
      </c>
      <c r="B43" s="139"/>
      <c r="C43" s="93">
        <v>500</v>
      </c>
      <c r="D43" s="71"/>
    </row>
    <row r="44" spans="1:4" ht="46.5" x14ac:dyDescent="0.35">
      <c r="A44" s="96" t="s">
        <v>214</v>
      </c>
      <c r="B44" s="137" t="s">
        <v>132</v>
      </c>
      <c r="C44" s="65">
        <f>C45/C46</f>
        <v>0.97399999999999998</v>
      </c>
      <c r="D44" s="70">
        <f>(C44*100)/80</f>
        <v>1.2174999999999998</v>
      </c>
    </row>
    <row r="45" spans="1:4" ht="17.5" customHeight="1" x14ac:dyDescent="0.35">
      <c r="A45" s="34" t="s">
        <v>135</v>
      </c>
      <c r="B45" s="138"/>
      <c r="C45" s="93">
        <v>487</v>
      </c>
      <c r="D45" s="71"/>
    </row>
    <row r="46" spans="1:4" ht="18" customHeight="1" x14ac:dyDescent="0.35">
      <c r="A46" s="12" t="s">
        <v>136</v>
      </c>
      <c r="B46" s="139"/>
      <c r="C46" s="93">
        <v>500</v>
      </c>
      <c r="D46" s="71"/>
    </row>
    <row r="47" spans="1:4" ht="16.5" customHeight="1" x14ac:dyDescent="0.35">
      <c r="A47" s="97" t="s">
        <v>137</v>
      </c>
      <c r="B47" s="154" t="s">
        <v>138</v>
      </c>
      <c r="C47" s="95">
        <f>C48/C49</f>
        <v>0.99789069091590887</v>
      </c>
      <c r="D47" s="70">
        <f>(C47*100)/95</f>
        <v>1.0504112535956935</v>
      </c>
    </row>
    <row r="48" spans="1:4" ht="31" x14ac:dyDescent="0.35">
      <c r="A48" s="34" t="s">
        <v>139</v>
      </c>
      <c r="B48" s="155"/>
      <c r="C48" s="91">
        <v>212890</v>
      </c>
      <c r="D48" s="71"/>
    </row>
    <row r="49" spans="1:4" x14ac:dyDescent="0.35">
      <c r="A49" s="12" t="s">
        <v>140</v>
      </c>
      <c r="B49" s="156"/>
      <c r="C49" s="91">
        <v>213340</v>
      </c>
      <c r="D49" s="71"/>
    </row>
    <row r="50" spans="1:4" ht="31" x14ac:dyDescent="0.35">
      <c r="A50" s="96" t="s">
        <v>141</v>
      </c>
      <c r="B50" s="137" t="s">
        <v>142</v>
      </c>
      <c r="C50" s="65">
        <f>C51/C52</f>
        <v>1.7927689033799907E-2</v>
      </c>
      <c r="D50" s="70">
        <f>(1-(((C50*100)-2)/2))</f>
        <v>1.1036155483100045</v>
      </c>
    </row>
    <row r="51" spans="1:4" ht="31" x14ac:dyDescent="0.35">
      <c r="A51" s="34" t="s">
        <v>215</v>
      </c>
      <c r="B51" s="138"/>
      <c r="C51" s="92">
        <v>20768.53</v>
      </c>
      <c r="D51" s="71"/>
    </row>
    <row r="52" spans="1:4" x14ac:dyDescent="0.35">
      <c r="A52" s="34" t="s">
        <v>143</v>
      </c>
      <c r="B52" s="139"/>
      <c r="C52" s="92">
        <v>1158461.08</v>
      </c>
      <c r="D52" s="71"/>
    </row>
    <row r="53" spans="1:4" x14ac:dyDescent="0.35">
      <c r="A53" s="96" t="s">
        <v>144</v>
      </c>
      <c r="B53" s="137" t="s">
        <v>145</v>
      </c>
      <c r="C53" s="65">
        <f>C54/C55</f>
        <v>0.99543378995433784</v>
      </c>
      <c r="D53" s="70">
        <f>(C53*100)/90</f>
        <v>1.1060375443937087</v>
      </c>
    </row>
    <row r="54" spans="1:4" x14ac:dyDescent="0.35">
      <c r="A54" s="12" t="s">
        <v>146</v>
      </c>
      <c r="B54" s="138"/>
      <c r="C54" s="93">
        <v>654</v>
      </c>
      <c r="D54" s="69"/>
    </row>
    <row r="55" spans="1:4" ht="31" x14ac:dyDescent="0.35">
      <c r="A55" s="34" t="s">
        <v>147</v>
      </c>
      <c r="B55" s="139"/>
      <c r="C55" s="93">
        <v>657</v>
      </c>
      <c r="D55" s="72"/>
    </row>
    <row r="57" spans="1:4" ht="30" customHeight="1" x14ac:dyDescent="0.35">
      <c r="A57" s="150" t="s">
        <v>241</v>
      </c>
      <c r="B57" s="150"/>
      <c r="C57" s="150"/>
      <c r="D57" s="122"/>
    </row>
  </sheetData>
  <mergeCells count="22">
    <mergeCell ref="B44:B46"/>
    <mergeCell ref="E2:H4"/>
    <mergeCell ref="A2:C2"/>
    <mergeCell ref="A3:C3"/>
    <mergeCell ref="B11:B13"/>
    <mergeCell ref="A57:C57"/>
    <mergeCell ref="B29:B31"/>
    <mergeCell ref="B32:B34"/>
    <mergeCell ref="B35:B37"/>
    <mergeCell ref="B20:B22"/>
    <mergeCell ref="B23:B25"/>
    <mergeCell ref="B26:B28"/>
    <mergeCell ref="B47:B49"/>
    <mergeCell ref="B50:B52"/>
    <mergeCell ref="B53:B55"/>
    <mergeCell ref="B38:B40"/>
    <mergeCell ref="B41:B43"/>
    <mergeCell ref="A1:D1"/>
    <mergeCell ref="B14:B16"/>
    <mergeCell ref="B17:B19"/>
    <mergeCell ref="B5:B7"/>
    <mergeCell ref="B8:B10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00F7-4224-40EF-A486-D9A1CB7B26E3}">
  <dimension ref="A1:C103"/>
  <sheetViews>
    <sheetView zoomScale="90" zoomScaleNormal="90" workbookViewId="0">
      <selection activeCell="F24" sqref="F24"/>
    </sheetView>
  </sheetViews>
  <sheetFormatPr defaultColWidth="9.1796875" defaultRowHeight="15.5" x14ac:dyDescent="0.35"/>
  <cols>
    <col min="1" max="1" width="50" style="7" customWidth="1"/>
    <col min="2" max="2" width="35.54296875" style="7" customWidth="1"/>
    <col min="3" max="3" width="22.453125" style="7" hidden="1" customWidth="1"/>
    <col min="4" max="16384" width="9.1796875" style="7"/>
  </cols>
  <sheetData>
    <row r="1" spans="1:3" ht="52.5" customHeight="1" x14ac:dyDescent="0.35"/>
    <row r="2" spans="1:3" x14ac:dyDescent="0.35">
      <c r="A2" s="158" t="s">
        <v>7</v>
      </c>
      <c r="B2" s="158"/>
    </row>
    <row r="3" spans="1:3" x14ac:dyDescent="0.35">
      <c r="A3" s="135" t="s">
        <v>243</v>
      </c>
      <c r="B3" s="135"/>
    </row>
    <row r="4" spans="1:3" x14ac:dyDescent="0.35">
      <c r="A4" s="159" t="s">
        <v>148</v>
      </c>
      <c r="B4" s="159"/>
    </row>
    <row r="5" spans="1:3" x14ac:dyDescent="0.35">
      <c r="A5" s="43" t="s">
        <v>149</v>
      </c>
      <c r="B5" s="44" t="s">
        <v>218</v>
      </c>
    </row>
    <row r="6" spans="1:3" x14ac:dyDescent="0.35">
      <c r="A6" s="12" t="s">
        <v>150</v>
      </c>
      <c r="B6" s="73">
        <v>0.94259999999999999</v>
      </c>
    </row>
    <row r="7" spans="1:3" x14ac:dyDescent="0.35">
      <c r="A7" s="12" t="s">
        <v>151</v>
      </c>
      <c r="B7" s="100">
        <v>0.69020000000000004</v>
      </c>
    </row>
    <row r="8" spans="1:3" x14ac:dyDescent="0.35">
      <c r="A8" s="12" t="s">
        <v>152</v>
      </c>
      <c r="B8" s="100">
        <v>0.69589999999999996</v>
      </c>
      <c r="C8" s="7" t="s">
        <v>239</v>
      </c>
    </row>
    <row r="9" spans="1:3" x14ac:dyDescent="0.35">
      <c r="A9" s="12" t="s">
        <v>153</v>
      </c>
      <c r="B9" s="100">
        <v>0.58889999999999998</v>
      </c>
    </row>
    <row r="10" spans="1:3" x14ac:dyDescent="0.35">
      <c r="A10" s="12" t="s">
        <v>154</v>
      </c>
      <c r="B10" s="100">
        <v>0.69669999999999999</v>
      </c>
    </row>
    <row r="11" spans="1:3" x14ac:dyDescent="0.35">
      <c r="A11" s="12" t="s">
        <v>155</v>
      </c>
      <c r="B11" s="100">
        <v>5.1700000000000003E-2</v>
      </c>
      <c r="C11" s="7" t="s">
        <v>238</v>
      </c>
    </row>
    <row r="12" spans="1:3" x14ac:dyDescent="0.35">
      <c r="A12" s="45" t="s">
        <v>156</v>
      </c>
      <c r="B12" s="100">
        <v>0.91</v>
      </c>
    </row>
    <row r="13" spans="1:3" x14ac:dyDescent="0.35">
      <c r="A13" s="46" t="s">
        <v>157</v>
      </c>
      <c r="B13" s="99">
        <f>'Indicadores de Desempenho'!C5</f>
        <v>0.88189182126992427</v>
      </c>
    </row>
    <row r="14" spans="1:3" x14ac:dyDescent="0.35">
      <c r="A14" s="157" t="s">
        <v>158</v>
      </c>
      <c r="B14" s="157"/>
    </row>
    <row r="15" spans="1:3" x14ac:dyDescent="0.35">
      <c r="A15" s="43" t="s">
        <v>149</v>
      </c>
      <c r="B15" s="44" t="s">
        <v>218</v>
      </c>
    </row>
    <row r="16" spans="1:3" x14ac:dyDescent="0.35">
      <c r="A16" s="12" t="s">
        <v>150</v>
      </c>
      <c r="B16" s="19">
        <v>5.33</v>
      </c>
    </row>
    <row r="17" spans="1:2" x14ac:dyDescent="0.35">
      <c r="A17" s="12" t="s">
        <v>151</v>
      </c>
      <c r="B17" s="19">
        <v>3.72</v>
      </c>
    </row>
    <row r="18" spans="1:2" x14ac:dyDescent="0.35">
      <c r="A18" s="12" t="s">
        <v>152</v>
      </c>
      <c r="B18" s="19">
        <v>2</v>
      </c>
    </row>
    <row r="19" spans="1:2" x14ac:dyDescent="0.35">
      <c r="A19" s="12" t="s">
        <v>153</v>
      </c>
      <c r="B19" s="19">
        <v>3.03</v>
      </c>
    </row>
    <row r="20" spans="1:2" x14ac:dyDescent="0.35">
      <c r="A20" s="12" t="s">
        <v>154</v>
      </c>
      <c r="B20" s="19">
        <v>13.06</v>
      </c>
    </row>
    <row r="21" spans="1:2" x14ac:dyDescent="0.35">
      <c r="A21" s="12" t="s">
        <v>155</v>
      </c>
      <c r="B21" s="19">
        <v>1.5</v>
      </c>
    </row>
    <row r="22" spans="1:2" x14ac:dyDescent="0.35">
      <c r="A22" s="45" t="s">
        <v>156</v>
      </c>
      <c r="B22" s="88">
        <v>10.41</v>
      </c>
    </row>
    <row r="23" spans="1:2" x14ac:dyDescent="0.35">
      <c r="A23" s="46" t="s">
        <v>157</v>
      </c>
      <c r="B23" s="98">
        <f>'Indicadores de Desempenho'!C8</f>
        <v>4.5980926430517712</v>
      </c>
    </row>
    <row r="24" spans="1:2" x14ac:dyDescent="0.35">
      <c r="A24" s="160" t="s">
        <v>159</v>
      </c>
      <c r="B24" s="160"/>
    </row>
    <row r="25" spans="1:2" x14ac:dyDescent="0.35">
      <c r="A25" s="43" t="s">
        <v>149</v>
      </c>
      <c r="B25" s="44" t="s">
        <v>218</v>
      </c>
    </row>
    <row r="26" spans="1:2" x14ac:dyDescent="0.35">
      <c r="A26" s="12" t="s">
        <v>150</v>
      </c>
      <c r="B26" s="88">
        <f>(100-94.26)*B16/94.26</f>
        <v>0.32457245915552696</v>
      </c>
    </row>
    <row r="27" spans="1:2" x14ac:dyDescent="0.35">
      <c r="A27" s="12" t="s">
        <v>151</v>
      </c>
      <c r="B27" s="88">
        <f>(100-69.02)*B17/69.02</f>
        <v>1.6697421037380473</v>
      </c>
    </row>
    <row r="28" spans="1:2" x14ac:dyDescent="0.35">
      <c r="A28" s="12" t="s">
        <v>152</v>
      </c>
      <c r="B28" s="88">
        <f>(100-69.59)*B18/69.59</f>
        <v>0.87397614599798812</v>
      </c>
    </row>
    <row r="29" spans="1:2" x14ac:dyDescent="0.35">
      <c r="A29" s="12" t="s">
        <v>153</v>
      </c>
      <c r="B29" s="88">
        <f>(100-58.89)*B19/58.89</f>
        <v>2.1151859398879265</v>
      </c>
    </row>
    <row r="30" spans="1:2" x14ac:dyDescent="0.35">
      <c r="A30" s="12" t="s">
        <v>154</v>
      </c>
      <c r="B30" s="88">
        <f>(100-69.67)*B20/69.67</f>
        <v>5.6855145686809241</v>
      </c>
    </row>
    <row r="31" spans="1:2" x14ac:dyDescent="0.35">
      <c r="A31" s="12" t="s">
        <v>155</v>
      </c>
      <c r="B31" s="88">
        <f>(100-5.17)*B21/5.17</f>
        <v>27.513539651837526</v>
      </c>
    </row>
    <row r="32" spans="1:2" x14ac:dyDescent="0.35">
      <c r="A32" s="45" t="s">
        <v>156</v>
      </c>
      <c r="B32" s="88">
        <f>(100-91)*B22/91</f>
        <v>1.0295604395604396</v>
      </c>
    </row>
    <row r="33" spans="1:3" x14ac:dyDescent="0.35">
      <c r="A33" s="46" t="s">
        <v>157</v>
      </c>
      <c r="B33" s="98">
        <f>'Indicadores de Desempenho'!C11</f>
        <v>0.61580381471389622</v>
      </c>
    </row>
    <row r="34" spans="1:3" x14ac:dyDescent="0.35">
      <c r="A34" s="157" t="s">
        <v>160</v>
      </c>
      <c r="B34" s="157"/>
    </row>
    <row r="35" spans="1:3" ht="12.75" customHeight="1" x14ac:dyDescent="0.35">
      <c r="A35" s="43" t="s">
        <v>161</v>
      </c>
      <c r="B35" s="44" t="s">
        <v>218</v>
      </c>
    </row>
    <row r="36" spans="1:3" x14ac:dyDescent="0.35">
      <c r="A36" s="47" t="s">
        <v>162</v>
      </c>
      <c r="B36" s="19">
        <f>'Indicadores de Produção'!C11</f>
        <v>734</v>
      </c>
    </row>
    <row r="37" spans="1:3" x14ac:dyDescent="0.35">
      <c r="A37" s="47" t="s">
        <v>163</v>
      </c>
      <c r="B37" s="19">
        <v>29</v>
      </c>
    </row>
    <row r="38" spans="1:3" x14ac:dyDescent="0.35">
      <c r="A38" s="47" t="s">
        <v>164</v>
      </c>
      <c r="B38" s="100">
        <f>B37/B36</f>
        <v>3.9509536784741145E-2</v>
      </c>
      <c r="C38" s="86"/>
    </row>
    <row r="39" spans="1:3" ht="31" x14ac:dyDescent="0.35">
      <c r="A39" s="48" t="s">
        <v>165</v>
      </c>
      <c r="B39" s="19">
        <v>22</v>
      </c>
      <c r="C39" s="86"/>
    </row>
    <row r="40" spans="1:3" ht="31" x14ac:dyDescent="0.35">
      <c r="A40" s="49" t="s">
        <v>166</v>
      </c>
      <c r="B40" s="73">
        <f>B39/B36</f>
        <v>2.9972752043596729E-2</v>
      </c>
    </row>
    <row r="41" spans="1:3" ht="31" x14ac:dyDescent="0.35">
      <c r="A41" s="49" t="s">
        <v>167</v>
      </c>
      <c r="B41" s="121">
        <v>0</v>
      </c>
    </row>
    <row r="42" spans="1:3" x14ac:dyDescent="0.35">
      <c r="A42" s="49" t="s">
        <v>168</v>
      </c>
      <c r="B42" s="73">
        <f>B43/B44</f>
        <v>0.33852140077821014</v>
      </c>
    </row>
    <row r="43" spans="1:3" x14ac:dyDescent="0.35">
      <c r="A43" s="50" t="s">
        <v>169</v>
      </c>
      <c r="B43" s="19">
        <f>'Indicadores de Produção'!C34</f>
        <v>174</v>
      </c>
    </row>
    <row r="44" spans="1:3" x14ac:dyDescent="0.35">
      <c r="A44" s="51" t="s">
        <v>170</v>
      </c>
      <c r="B44" s="19">
        <f>'Indicadores de Produção'!C20+'Indicadores de Produção'!C34+'Indicadores de Produção'!C14</f>
        <v>514</v>
      </c>
    </row>
    <row r="45" spans="1:3" x14ac:dyDescent="0.35">
      <c r="A45" s="157" t="s">
        <v>171</v>
      </c>
      <c r="B45" s="157"/>
    </row>
    <row r="46" spans="1:3" x14ac:dyDescent="0.35">
      <c r="A46" s="43" t="s">
        <v>161</v>
      </c>
      <c r="B46" s="44" t="s">
        <v>218</v>
      </c>
    </row>
    <row r="47" spans="1:3" x14ac:dyDescent="0.35">
      <c r="A47" s="101" t="s">
        <v>172</v>
      </c>
      <c r="B47" s="19">
        <v>67</v>
      </c>
    </row>
    <row r="48" spans="1:3" ht="31" x14ac:dyDescent="0.35">
      <c r="A48" s="101" t="s">
        <v>173</v>
      </c>
      <c r="B48" s="19">
        <v>288</v>
      </c>
    </row>
    <row r="49" spans="1:2" x14ac:dyDescent="0.35">
      <c r="A49" s="52" t="s">
        <v>174</v>
      </c>
      <c r="B49" s="19">
        <v>687</v>
      </c>
    </row>
    <row r="50" spans="1:2" x14ac:dyDescent="0.35">
      <c r="A50" s="52" t="s">
        <v>175</v>
      </c>
      <c r="B50" s="19">
        <v>113</v>
      </c>
    </row>
    <row r="51" spans="1:2" x14ac:dyDescent="0.35">
      <c r="A51" s="52" t="s">
        <v>176</v>
      </c>
      <c r="B51" s="19">
        <v>56</v>
      </c>
    </row>
    <row r="52" spans="1:2" x14ac:dyDescent="0.35">
      <c r="A52" s="52" t="s">
        <v>177</v>
      </c>
      <c r="B52" s="19">
        <v>128</v>
      </c>
    </row>
    <row r="53" spans="1:2" x14ac:dyDescent="0.35">
      <c r="A53" s="157" t="s">
        <v>178</v>
      </c>
      <c r="B53" s="157"/>
    </row>
    <row r="54" spans="1:2" x14ac:dyDescent="0.35">
      <c r="A54" s="53" t="s">
        <v>161</v>
      </c>
      <c r="B54" s="44" t="s">
        <v>218</v>
      </c>
    </row>
    <row r="55" spans="1:2" x14ac:dyDescent="0.35">
      <c r="A55" s="54" t="s">
        <v>179</v>
      </c>
      <c r="B55" s="87">
        <f>B47/B52</f>
        <v>0.5234375</v>
      </c>
    </row>
    <row r="56" spans="1:2" x14ac:dyDescent="0.35">
      <c r="A56" s="54" t="s">
        <v>180</v>
      </c>
      <c r="B56" s="87">
        <f>B48/B52</f>
        <v>2.25</v>
      </c>
    </row>
    <row r="57" spans="1:2" x14ac:dyDescent="0.35">
      <c r="A57" s="54" t="s">
        <v>181</v>
      </c>
      <c r="B57" s="88">
        <f>B49/B52</f>
        <v>5.3671875</v>
      </c>
    </row>
    <row r="58" spans="1:2" x14ac:dyDescent="0.35">
      <c r="A58" s="55" t="s">
        <v>182</v>
      </c>
      <c r="B58" s="73">
        <v>6.0499999999999998E-2</v>
      </c>
    </row>
    <row r="59" spans="1:2" x14ac:dyDescent="0.35">
      <c r="A59" s="54" t="s">
        <v>183</v>
      </c>
      <c r="B59" s="73">
        <f>B51/B50</f>
        <v>0.49557522123893805</v>
      </c>
    </row>
    <row r="60" spans="1:2" x14ac:dyDescent="0.35">
      <c r="A60" s="157" t="s">
        <v>184</v>
      </c>
      <c r="B60" s="157"/>
    </row>
    <row r="61" spans="1:2" x14ac:dyDescent="0.35">
      <c r="A61" s="160" t="s">
        <v>185</v>
      </c>
      <c r="B61" s="162" t="s">
        <v>218</v>
      </c>
    </row>
    <row r="62" spans="1:2" x14ac:dyDescent="0.35">
      <c r="A62" s="160"/>
      <c r="B62" s="162"/>
    </row>
    <row r="63" spans="1:2" x14ac:dyDescent="0.35">
      <c r="A63" s="54" t="s">
        <v>186</v>
      </c>
      <c r="B63" s="164" t="s">
        <v>233</v>
      </c>
    </row>
    <row r="64" spans="1:2" x14ac:dyDescent="0.35">
      <c r="A64" s="54" t="s">
        <v>187</v>
      </c>
      <c r="B64" s="165"/>
    </row>
    <row r="65" spans="1:2" x14ac:dyDescent="0.35">
      <c r="A65" s="54" t="s">
        <v>188</v>
      </c>
      <c r="B65" s="165"/>
    </row>
    <row r="66" spans="1:2" x14ac:dyDescent="0.35">
      <c r="A66" s="54" t="s">
        <v>189</v>
      </c>
      <c r="B66" s="165"/>
    </row>
    <row r="67" spans="1:2" x14ac:dyDescent="0.35">
      <c r="A67" s="54" t="s">
        <v>190</v>
      </c>
      <c r="B67" s="165"/>
    </row>
    <row r="68" spans="1:2" x14ac:dyDescent="0.35">
      <c r="A68" s="54" t="s">
        <v>191</v>
      </c>
      <c r="B68" s="165"/>
    </row>
    <row r="69" spans="1:2" x14ac:dyDescent="0.35">
      <c r="A69" s="54" t="s">
        <v>192</v>
      </c>
      <c r="B69" s="165"/>
    </row>
    <row r="70" spans="1:2" x14ac:dyDescent="0.35">
      <c r="A70" s="54" t="s">
        <v>193</v>
      </c>
      <c r="B70" s="165"/>
    </row>
    <row r="71" spans="1:2" x14ac:dyDescent="0.35">
      <c r="A71" s="54" t="s">
        <v>194</v>
      </c>
      <c r="B71" s="165"/>
    </row>
    <row r="72" spans="1:2" x14ac:dyDescent="0.35">
      <c r="A72" s="54" t="s">
        <v>195</v>
      </c>
      <c r="B72" s="165"/>
    </row>
    <row r="73" spans="1:2" x14ac:dyDescent="0.35">
      <c r="A73" s="54" t="s">
        <v>196</v>
      </c>
      <c r="B73" s="165"/>
    </row>
    <row r="74" spans="1:2" x14ac:dyDescent="0.35">
      <c r="A74" s="54" t="s">
        <v>197</v>
      </c>
      <c r="B74" s="165"/>
    </row>
    <row r="75" spans="1:2" x14ac:dyDescent="0.35">
      <c r="A75" s="54" t="s">
        <v>198</v>
      </c>
      <c r="B75" s="165"/>
    </row>
    <row r="76" spans="1:2" x14ac:dyDescent="0.35">
      <c r="A76" s="54" t="s">
        <v>199</v>
      </c>
      <c r="B76" s="165"/>
    </row>
    <row r="77" spans="1:2" x14ac:dyDescent="0.35">
      <c r="A77" s="54" t="s">
        <v>200</v>
      </c>
      <c r="B77" s="165"/>
    </row>
    <row r="78" spans="1:2" x14ac:dyDescent="0.35">
      <c r="A78" s="56" t="s">
        <v>201</v>
      </c>
      <c r="B78" s="166"/>
    </row>
    <row r="79" spans="1:2" x14ac:dyDescent="0.35">
      <c r="A79" s="163" t="s">
        <v>202</v>
      </c>
      <c r="B79" s="163"/>
    </row>
    <row r="80" spans="1:2" x14ac:dyDescent="0.35">
      <c r="A80" s="157" t="s">
        <v>203</v>
      </c>
      <c r="B80" s="157"/>
    </row>
    <row r="81" spans="1:2" x14ac:dyDescent="0.35">
      <c r="A81" s="57" t="s">
        <v>204</v>
      </c>
      <c r="B81" s="44" t="s">
        <v>218</v>
      </c>
    </row>
    <row r="82" spans="1:2" x14ac:dyDescent="0.35">
      <c r="A82" s="24" t="s">
        <v>29</v>
      </c>
      <c r="B82" s="120">
        <v>0.19</v>
      </c>
    </row>
    <row r="83" spans="1:2" x14ac:dyDescent="0.35">
      <c r="A83" s="24" t="s">
        <v>205</v>
      </c>
      <c r="B83" s="120">
        <v>0.2</v>
      </c>
    </row>
    <row r="84" spans="1:2" x14ac:dyDescent="0.35">
      <c r="A84" s="157" t="s">
        <v>206</v>
      </c>
      <c r="B84" s="157"/>
    </row>
    <row r="85" spans="1:2" x14ac:dyDescent="0.35">
      <c r="A85" s="160" t="s">
        <v>185</v>
      </c>
      <c r="B85" s="162" t="s">
        <v>218</v>
      </c>
    </row>
    <row r="86" spans="1:2" x14ac:dyDescent="0.35">
      <c r="A86" s="160"/>
      <c r="B86" s="162"/>
    </row>
    <row r="87" spans="1:2" x14ac:dyDescent="0.35">
      <c r="A87" s="54" t="s">
        <v>186</v>
      </c>
      <c r="B87" s="103" t="s">
        <v>237</v>
      </c>
    </row>
    <row r="88" spans="1:2" x14ac:dyDescent="0.35">
      <c r="A88" s="54" t="s">
        <v>187</v>
      </c>
      <c r="B88" s="103" t="s">
        <v>237</v>
      </c>
    </row>
    <row r="89" spans="1:2" x14ac:dyDescent="0.35">
      <c r="A89" s="54" t="s">
        <v>188</v>
      </c>
      <c r="B89" s="102">
        <v>3.7499999999999999E-2</v>
      </c>
    </row>
    <row r="90" spans="1:2" x14ac:dyDescent="0.35">
      <c r="A90" s="54" t="s">
        <v>189</v>
      </c>
      <c r="B90" s="102">
        <v>5.45E-2</v>
      </c>
    </row>
    <row r="91" spans="1:2" x14ac:dyDescent="0.35">
      <c r="A91" s="54" t="s">
        <v>190</v>
      </c>
      <c r="B91" s="103" t="s">
        <v>237</v>
      </c>
    </row>
    <row r="92" spans="1:2" x14ac:dyDescent="0.35">
      <c r="A92" s="54" t="s">
        <v>191</v>
      </c>
      <c r="B92" s="102">
        <v>4.9399999999999999E-2</v>
      </c>
    </row>
    <row r="93" spans="1:2" x14ac:dyDescent="0.35">
      <c r="A93" s="54" t="s">
        <v>192</v>
      </c>
      <c r="B93" s="103" t="s">
        <v>237</v>
      </c>
    </row>
    <row r="94" spans="1:2" x14ac:dyDescent="0.35">
      <c r="A94" s="54" t="s">
        <v>193</v>
      </c>
      <c r="B94" s="103" t="s">
        <v>237</v>
      </c>
    </row>
    <row r="95" spans="1:2" x14ac:dyDescent="0.35">
      <c r="A95" s="54" t="s">
        <v>194</v>
      </c>
      <c r="B95" s="103" t="s">
        <v>237</v>
      </c>
    </row>
    <row r="96" spans="1:2" x14ac:dyDescent="0.35">
      <c r="A96" s="54" t="s">
        <v>195</v>
      </c>
      <c r="B96" s="103" t="s">
        <v>237</v>
      </c>
    </row>
    <row r="97" spans="1:3" x14ac:dyDescent="0.35">
      <c r="A97" s="54" t="s">
        <v>196</v>
      </c>
      <c r="B97" s="103" t="s">
        <v>237</v>
      </c>
    </row>
    <row r="98" spans="1:3" x14ac:dyDescent="0.35">
      <c r="A98" s="54" t="s">
        <v>197</v>
      </c>
      <c r="B98" s="103" t="s">
        <v>237</v>
      </c>
    </row>
    <row r="99" spans="1:3" x14ac:dyDescent="0.35">
      <c r="A99" s="54" t="s">
        <v>198</v>
      </c>
      <c r="B99" s="103" t="s">
        <v>237</v>
      </c>
    </row>
    <row r="100" spans="1:3" x14ac:dyDescent="0.35">
      <c r="A100" s="54" t="s">
        <v>199</v>
      </c>
      <c r="B100" s="103" t="s">
        <v>237</v>
      </c>
    </row>
    <row r="101" spans="1:3" x14ac:dyDescent="0.35">
      <c r="A101" s="54" t="s">
        <v>200</v>
      </c>
      <c r="B101" s="103" t="s">
        <v>237</v>
      </c>
    </row>
    <row r="102" spans="1:3" x14ac:dyDescent="0.35">
      <c r="A102" s="58" t="s">
        <v>201</v>
      </c>
      <c r="B102" s="103" t="s">
        <v>237</v>
      </c>
    </row>
    <row r="103" spans="1:3" ht="27.75" customHeight="1" x14ac:dyDescent="0.35">
      <c r="A103" s="161" t="s">
        <v>241</v>
      </c>
      <c r="B103" s="161"/>
      <c r="C103" s="122"/>
    </row>
  </sheetData>
  <mergeCells count="18">
    <mergeCell ref="A103:B103"/>
    <mergeCell ref="A85:A86"/>
    <mergeCell ref="B85:B86"/>
    <mergeCell ref="B61:B62"/>
    <mergeCell ref="A45:B45"/>
    <mergeCell ref="A53:B53"/>
    <mergeCell ref="A60:B60"/>
    <mergeCell ref="A79:B79"/>
    <mergeCell ref="A80:B80"/>
    <mergeCell ref="A61:A62"/>
    <mergeCell ref="A84:B84"/>
    <mergeCell ref="B63:B78"/>
    <mergeCell ref="A34:B34"/>
    <mergeCell ref="A2:B2"/>
    <mergeCell ref="A3:B3"/>
    <mergeCell ref="A4:B4"/>
    <mergeCell ref="A14:B14"/>
    <mergeCell ref="A24:B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Indicadores de Produção</vt:lpstr>
      <vt:lpstr>Indicadores de Desempenho</vt:lpstr>
      <vt:lpstr>Indicadores de Efetividade</vt:lpstr>
      <vt:lpstr>'Indicadores de Desempenho'!Area_de_impressao</vt:lpstr>
      <vt:lpstr>'Indicadores de Efetividade'!Area_de_impressao</vt:lpstr>
      <vt:lpstr>'Indicadores de Produção'!Area_de_impressao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Rocha Gomes</dc:creator>
  <cp:lastModifiedBy>Agda Teixeira</cp:lastModifiedBy>
  <cp:lastPrinted>2025-12-12T17:41:54Z</cp:lastPrinted>
  <dcterms:created xsi:type="dcterms:W3CDTF">2025-09-02T16:18:54Z</dcterms:created>
  <dcterms:modified xsi:type="dcterms:W3CDTF">2025-12-17T22:30:50Z</dcterms:modified>
</cp:coreProperties>
</file>